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defaultThemeVersion="124226"/>
  <mc:AlternateContent xmlns:mc="http://schemas.openxmlformats.org/markup-compatibility/2006">
    <mc:Choice Requires="x15">
      <x15ac:absPath xmlns:x15ac="http://schemas.microsoft.com/office/spreadsheetml/2010/11/ac" url="C:\Users\Joeff Taylor\Documents\Eva\Battleacts100\Exam 5\Spring 2018 CBT Exam\"/>
    </mc:Choice>
  </mc:AlternateContent>
  <xr:revisionPtr revIDLastSave="0" documentId="8_{0E371FD1-8A56-4345-B73F-3916C3EE5405}" xr6:coauthVersionLast="45" xr6:coauthVersionMax="45" xr10:uidLastSave="{00000000-0000-0000-0000-000000000000}"/>
  <bookViews>
    <workbookView xWindow="-120" yWindow="-120" windowWidth="20730" windowHeight="11160" xr2:uid="{00000000-000D-0000-FFFF-FFFF00000000}"/>
  </bookViews>
  <sheets>
    <sheet name="1(1)" sheetId="1" r:id="rId1"/>
    <sheet name="1(2)" sheetId="2" r:id="rId2"/>
    <sheet name="2 (1)" sheetId="3" r:id="rId3"/>
    <sheet name="2 (2)" sheetId="4" r:id="rId4"/>
    <sheet name="2 (3)" sheetId="5" r:id="rId5"/>
    <sheet name="3 (1)" sheetId="6" r:id="rId6"/>
    <sheet name="3 (2)" sheetId="7" r:id="rId7"/>
    <sheet name="3 (3)" sheetId="8" r:id="rId8"/>
    <sheet name="4 (1)" sheetId="9" r:id="rId9"/>
    <sheet name="4 (2)" sheetId="10" r:id="rId10"/>
    <sheet name="5 (1)" sheetId="57" r:id="rId11"/>
    <sheet name="6 (1)" sheetId="11" r:id="rId12"/>
    <sheet name="6 (2)" sheetId="12" r:id="rId13"/>
    <sheet name="6 (3)" sheetId="13" r:id="rId14"/>
    <sheet name="7 (1)" sheetId="14" r:id="rId15"/>
    <sheet name="7 (2)" sheetId="15" r:id="rId16"/>
    <sheet name="8 (1)" sheetId="21" r:id="rId17"/>
    <sheet name="8 (2)" sheetId="22" r:id="rId18"/>
    <sheet name="8 (3)" sheetId="23" r:id="rId19"/>
    <sheet name="8 (4)" sheetId="24" r:id="rId20"/>
    <sheet name="8 (5)" sheetId="25" r:id="rId21"/>
    <sheet name="9 (1)" sheetId="26" r:id="rId22"/>
    <sheet name="9 (2)" sheetId="27" r:id="rId23"/>
    <sheet name="10 (1)" sheetId="28" r:id="rId24"/>
    <sheet name="11 (1)" sheetId="29" r:id="rId25"/>
    <sheet name="12 (1)" sheetId="30" r:id="rId26"/>
    <sheet name="12 (2)" sheetId="31" r:id="rId27"/>
    <sheet name="13 (1)" sheetId="32" r:id="rId28"/>
    <sheet name="13 (2)" sheetId="33" r:id="rId29"/>
    <sheet name="14 (1)" sheetId="34" r:id="rId30"/>
    <sheet name="14 (2)" sheetId="35" r:id="rId31"/>
    <sheet name="15(1)" sheetId="36" r:id="rId32"/>
    <sheet name="15(2)" sheetId="37" r:id="rId33"/>
    <sheet name="16(1)" sheetId="38" r:id="rId34"/>
    <sheet name="17 (1)" sheetId="39" r:id="rId35"/>
    <sheet name="17 (2)" sheetId="40" r:id="rId36"/>
    <sheet name="17 (3)" sheetId="41" r:id="rId37"/>
    <sheet name="18 (1)" sheetId="42" r:id="rId38"/>
    <sheet name="18 (2)" sheetId="43" r:id="rId39"/>
    <sheet name="19 (1)" sheetId="44" r:id="rId40"/>
    <sheet name="20 (1)" sheetId="45" r:id="rId41"/>
    <sheet name="20 (2)" sheetId="46" r:id="rId42"/>
    <sheet name="21 (1)" sheetId="47" r:id="rId43"/>
    <sheet name="22 (1)" sheetId="48" r:id="rId44"/>
    <sheet name="23 (1)" sheetId="49" r:id="rId45"/>
    <sheet name="23 (2)" sheetId="50" r:id="rId46"/>
    <sheet name="24 (1)" sheetId="51" r:id="rId47"/>
    <sheet name="24 (2)" sheetId="52" r:id="rId48"/>
    <sheet name="25 (1)" sheetId="53" r:id="rId49"/>
    <sheet name="25 (2)" sheetId="54" r:id="rId50"/>
    <sheet name="26 (1)" sheetId="55" r:id="rId51"/>
    <sheet name="26 (2)" sheetId="56" r:id="rId52"/>
  </sheets>
  <definedNames>
    <definedName name="_AMO_UniqueIdentifier" hidden="1">"'098b66d3-211c-4950-bdfb-cbaa22a54f9e'"</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0" i="57" l="1"/>
  <c r="D61" i="57"/>
  <c r="D62" i="57"/>
  <c r="D63" i="57"/>
  <c r="E72" i="57" s="1"/>
  <c r="E60" i="57"/>
  <c r="E61" i="57"/>
  <c r="E62" i="57"/>
  <c r="E63" i="57"/>
  <c r="D67" i="57"/>
  <c r="D68" i="57"/>
  <c r="D69" i="57"/>
  <c r="D70" i="57"/>
  <c r="E73" i="57" s="1"/>
  <c r="E67" i="57"/>
  <c r="E68" i="57"/>
  <c r="E69" i="57"/>
  <c r="E70" i="57"/>
  <c r="J39" i="57"/>
  <c r="J42" i="57" s="1"/>
  <c r="J40" i="57"/>
  <c r="J41" i="57"/>
  <c r="K39" i="57"/>
  <c r="K42" i="57" s="1"/>
  <c r="K40" i="57"/>
  <c r="K41" i="57"/>
  <c r="L39" i="57"/>
  <c r="L42" i="57" s="1"/>
  <c r="L40" i="57"/>
  <c r="L41" i="57"/>
  <c r="M39" i="57"/>
  <c r="M42" i="57" s="1"/>
  <c r="M40" i="57"/>
  <c r="M41" i="57"/>
  <c r="K11" i="56"/>
  <c r="L11" i="56" s="1"/>
  <c r="J11" i="56"/>
  <c r="K10" i="56"/>
  <c r="J10" i="56"/>
  <c r="L10" i="56" s="1"/>
  <c r="L12" i="56" s="1"/>
  <c r="K9" i="56"/>
  <c r="J9" i="56"/>
  <c r="L9" i="56"/>
  <c r="K5" i="56"/>
  <c r="J5" i="56"/>
  <c r="L5" i="56"/>
  <c r="K4" i="56"/>
  <c r="L4" i="56" s="1"/>
  <c r="J4" i="56"/>
  <c r="K3" i="56"/>
  <c r="J3" i="56"/>
  <c r="L3" i="56" s="1"/>
  <c r="I48" i="55"/>
  <c r="D47" i="55"/>
  <c r="E47" i="55" s="1"/>
  <c r="F47" i="55" s="1"/>
  <c r="G47" i="55" s="1"/>
  <c r="H47" i="55" s="1"/>
  <c r="J47" i="55" s="1"/>
  <c r="D46" i="55"/>
  <c r="D45" i="55"/>
  <c r="E46" i="55" s="1"/>
  <c r="F46" i="55" s="1"/>
  <c r="G46" i="55" s="1"/>
  <c r="H46" i="55" s="1"/>
  <c r="J46" i="55" s="1"/>
  <c r="D44" i="55"/>
  <c r="I40" i="55"/>
  <c r="D39" i="55"/>
  <c r="E39" i="55" s="1"/>
  <c r="F39" i="55" s="1"/>
  <c r="G39" i="55" s="1"/>
  <c r="H39" i="55" s="1"/>
  <c r="J39" i="55" s="1"/>
  <c r="D38" i="55"/>
  <c r="D37" i="55"/>
  <c r="E37" i="55" s="1"/>
  <c r="F37" i="55" s="1"/>
  <c r="G37" i="55" s="1"/>
  <c r="H37" i="55" s="1"/>
  <c r="E38" i="55"/>
  <c r="F38" i="55" s="1"/>
  <c r="G38" i="55" s="1"/>
  <c r="H38" i="55" s="1"/>
  <c r="J38" i="55" s="1"/>
  <c r="D36" i="55"/>
  <c r="E55" i="52"/>
  <c r="C55" i="52"/>
  <c r="E54" i="52"/>
  <c r="C54" i="52"/>
  <c r="E53" i="52"/>
  <c r="C53" i="52"/>
  <c r="E52" i="52"/>
  <c r="C52" i="52"/>
  <c r="E51" i="52"/>
  <c r="C51" i="52"/>
  <c r="G43" i="52"/>
  <c r="G44" i="52"/>
  <c r="D51" i="52" s="1"/>
  <c r="F51" i="52" s="1"/>
  <c r="D39" i="52"/>
  <c r="D40" i="52"/>
  <c r="D41" i="52"/>
  <c r="D43" i="52" s="1"/>
  <c r="C42" i="52"/>
  <c r="C41" i="52"/>
  <c r="E40" i="52"/>
  <c r="C40" i="52"/>
  <c r="F39" i="52"/>
  <c r="F43" i="52"/>
  <c r="F44" i="52"/>
  <c r="D52" i="52" s="1"/>
  <c r="F52" i="52" s="1"/>
  <c r="E39" i="52"/>
  <c r="E43" i="52"/>
  <c r="E44" i="52"/>
  <c r="D53" i="52" s="1"/>
  <c r="F53" i="52" s="1"/>
  <c r="C39" i="52"/>
  <c r="C43" i="52"/>
  <c r="N14" i="51"/>
  <c r="P8" i="51"/>
  <c r="L7" i="51"/>
  <c r="M6" i="51"/>
  <c r="L6" i="51"/>
  <c r="N5" i="51"/>
  <c r="N4" i="51"/>
  <c r="N8" i="51"/>
  <c r="M5" i="51"/>
  <c r="L5" i="51"/>
  <c r="L4" i="51"/>
  <c r="L8" i="51"/>
  <c r="P4" i="51"/>
  <c r="O4" i="51"/>
  <c r="O8" i="51"/>
  <c r="M4" i="51"/>
  <c r="M8" i="51" s="1"/>
  <c r="E61" i="50"/>
  <c r="D61" i="50"/>
  <c r="C61" i="50"/>
  <c r="E35" i="50"/>
  <c r="D58" i="50" s="1"/>
  <c r="E42" i="50"/>
  <c r="F34" i="50"/>
  <c r="D57" i="50" s="1"/>
  <c r="F41" i="50"/>
  <c r="F33" i="50"/>
  <c r="F40" i="50"/>
  <c r="C56" i="50"/>
  <c r="C55" i="50"/>
  <c r="F42" i="50"/>
  <c r="D42" i="50"/>
  <c r="E41" i="50"/>
  <c r="F35" i="50"/>
  <c r="E58" i="50"/>
  <c r="E59" i="50" s="1"/>
  <c r="E60" i="50" s="1"/>
  <c r="E62" i="50" s="1"/>
  <c r="D35" i="50"/>
  <c r="C58" i="50"/>
  <c r="E34" i="50"/>
  <c r="C57" i="50" s="1"/>
  <c r="C59" i="50" s="1"/>
  <c r="C60" i="50" s="1"/>
  <c r="C62" i="50" s="1"/>
  <c r="F33" i="49"/>
  <c r="G33" i="49"/>
  <c r="H33" i="49" s="1"/>
  <c r="D32" i="49"/>
  <c r="E32" i="49"/>
  <c r="F32" i="49"/>
  <c r="G32" i="49" s="1"/>
  <c r="H32" i="49" s="1"/>
  <c r="I32" i="49" s="1"/>
  <c r="C31" i="49"/>
  <c r="C32" i="49"/>
  <c r="C33" i="49" s="1"/>
  <c r="F31" i="49"/>
  <c r="E31" i="49"/>
  <c r="D31" i="49"/>
  <c r="G31" i="49" s="1"/>
  <c r="H31" i="49" s="1"/>
  <c r="I31" i="49" s="1"/>
  <c r="N19" i="48"/>
  <c r="M25" i="48" s="1"/>
  <c r="M19" i="48"/>
  <c r="L24" i="48"/>
  <c r="L25" i="48"/>
  <c r="M20" i="48"/>
  <c r="O18" i="48"/>
  <c r="N18" i="48"/>
  <c r="N24" i="48"/>
  <c r="M18" i="48"/>
  <c r="M24" i="48" s="1"/>
  <c r="M28" i="48" s="1"/>
  <c r="M29" i="48" s="1"/>
  <c r="M31" i="48" s="1"/>
  <c r="L18" i="48"/>
  <c r="L19" i="48"/>
  <c r="L20" i="48" s="1"/>
  <c r="P17" i="48"/>
  <c r="O17" i="48"/>
  <c r="O23" i="48"/>
  <c r="O28" i="48" s="1"/>
  <c r="O29" i="48" s="1"/>
  <c r="N17" i="48"/>
  <c r="N23" i="48"/>
  <c r="N28" i="48" s="1"/>
  <c r="N29" i="48" s="1"/>
  <c r="M17" i="48"/>
  <c r="M23" i="48"/>
  <c r="N16" i="48"/>
  <c r="O16" i="48" s="1"/>
  <c r="P16" i="48" s="1"/>
  <c r="M9" i="48"/>
  <c r="L8" i="48"/>
  <c r="L9" i="48" s="1"/>
  <c r="N8" i="48"/>
  <c r="M8" i="48"/>
  <c r="O7" i="48"/>
  <c r="O11" i="48" s="1"/>
  <c r="O12" i="48" s="1"/>
  <c r="N7" i="48"/>
  <c r="N11" i="48" s="1"/>
  <c r="M7" i="48"/>
  <c r="M11" i="48"/>
  <c r="L36" i="47"/>
  <c r="L43" i="47" s="1"/>
  <c r="L46" i="47" s="1"/>
  <c r="L47" i="47" s="1"/>
  <c r="J17" i="47"/>
  <c r="J16" i="47"/>
  <c r="J15" i="47"/>
  <c r="J14" i="47"/>
  <c r="K14" i="47"/>
  <c r="L14" i="47"/>
  <c r="K21" i="47" s="1"/>
  <c r="K7" i="47"/>
  <c r="K8" i="47"/>
  <c r="K10" i="47"/>
  <c r="J7" i="47"/>
  <c r="J10" i="47" s="1"/>
  <c r="J8" i="47"/>
  <c r="J9" i="47"/>
  <c r="P7" i="47"/>
  <c r="L7" i="47"/>
  <c r="L10" i="47" s="1"/>
  <c r="L11" i="47" s="1"/>
  <c r="K15" i="47" s="1"/>
  <c r="L15" i="47" s="1"/>
  <c r="K49" i="46"/>
  <c r="I38" i="46"/>
  <c r="J49" i="46"/>
  <c r="C49" i="46"/>
  <c r="B49" i="46"/>
  <c r="L48" i="46"/>
  <c r="K48" i="46"/>
  <c r="I37" i="46"/>
  <c r="J48" i="46" s="1"/>
  <c r="D48" i="46"/>
  <c r="C48" i="46"/>
  <c r="B48" i="46"/>
  <c r="M47" i="46"/>
  <c r="L47" i="46"/>
  <c r="K47" i="46"/>
  <c r="I36" i="46"/>
  <c r="J47" i="46" s="1"/>
  <c r="E47" i="46"/>
  <c r="D47" i="46"/>
  <c r="C47" i="46"/>
  <c r="B47" i="46"/>
  <c r="N46" i="46"/>
  <c r="M46" i="46"/>
  <c r="L46" i="46"/>
  <c r="K46" i="46"/>
  <c r="I35" i="46"/>
  <c r="J46" i="46"/>
  <c r="F46" i="46"/>
  <c r="E46" i="46"/>
  <c r="D46" i="46"/>
  <c r="C46" i="46"/>
  <c r="B46" i="46"/>
  <c r="O45" i="46"/>
  <c r="N45" i="46"/>
  <c r="M45" i="46"/>
  <c r="L45" i="46"/>
  <c r="K45" i="46"/>
  <c r="I34" i="46"/>
  <c r="J45" i="46"/>
  <c r="G45" i="46"/>
  <c r="F45" i="46"/>
  <c r="E45" i="46"/>
  <c r="D45" i="46"/>
  <c r="C45" i="46"/>
  <c r="B45" i="46"/>
  <c r="M33" i="46"/>
  <c r="N44" i="46"/>
  <c r="L33" i="46"/>
  <c r="M44" i="46" s="1"/>
  <c r="G33" i="46"/>
  <c r="G44" i="46"/>
  <c r="F33" i="46"/>
  <c r="F44" i="46" s="1"/>
  <c r="C33" i="46"/>
  <c r="C44" i="46"/>
  <c r="J38" i="46"/>
  <c r="C38" i="46"/>
  <c r="B38" i="46"/>
  <c r="K37" i="46"/>
  <c r="J37" i="46"/>
  <c r="D37" i="46"/>
  <c r="C37" i="46"/>
  <c r="B37" i="46"/>
  <c r="L36" i="46"/>
  <c r="K36" i="46"/>
  <c r="J36" i="46"/>
  <c r="E36" i="46"/>
  <c r="D36" i="46"/>
  <c r="C36" i="46"/>
  <c r="B36" i="46"/>
  <c r="M35" i="46"/>
  <c r="L35" i="46"/>
  <c r="K35" i="46"/>
  <c r="J35" i="46"/>
  <c r="F35" i="46"/>
  <c r="E35" i="46"/>
  <c r="D35" i="46"/>
  <c r="C35" i="46"/>
  <c r="B35" i="46"/>
  <c r="N34" i="46"/>
  <c r="M34" i="46"/>
  <c r="L34" i="46"/>
  <c r="K34" i="46"/>
  <c r="J34" i="46"/>
  <c r="G34" i="46"/>
  <c r="F34" i="46"/>
  <c r="E34" i="46"/>
  <c r="D34" i="46"/>
  <c r="C34" i="46"/>
  <c r="B34" i="46"/>
  <c r="N33" i="46"/>
  <c r="O44" i="46"/>
  <c r="K33" i="46"/>
  <c r="L44" i="46" s="1"/>
  <c r="J33" i="46"/>
  <c r="K44" i="46"/>
  <c r="E33" i="46"/>
  <c r="E44" i="46" s="1"/>
  <c r="D33" i="46"/>
  <c r="D44" i="46"/>
  <c r="R34" i="45"/>
  <c r="S33" i="45"/>
  <c r="R33" i="45"/>
  <c r="T32" i="45"/>
  <c r="S32" i="45"/>
  <c r="R32" i="45"/>
  <c r="U31" i="45"/>
  <c r="T31" i="45"/>
  <c r="S31" i="45"/>
  <c r="R31" i="45"/>
  <c r="V30" i="45"/>
  <c r="U30" i="45"/>
  <c r="T30" i="45"/>
  <c r="S30" i="45"/>
  <c r="R30" i="45"/>
  <c r="R27" i="45"/>
  <c r="S26" i="45"/>
  <c r="R26" i="45"/>
  <c r="T25" i="45"/>
  <c r="S25" i="45"/>
  <c r="R25" i="45"/>
  <c r="U24" i="45"/>
  <c r="T24" i="45"/>
  <c r="S24" i="45"/>
  <c r="R24" i="45"/>
  <c r="V23" i="45"/>
  <c r="U23" i="45"/>
  <c r="T23" i="45"/>
  <c r="S23" i="45"/>
  <c r="R23" i="45"/>
  <c r="R19" i="45"/>
  <c r="S18" i="45"/>
  <c r="R18" i="45"/>
  <c r="T17" i="45"/>
  <c r="S17" i="45"/>
  <c r="R17" i="45"/>
  <c r="U16" i="45"/>
  <c r="T16" i="45"/>
  <c r="S16" i="45"/>
  <c r="R16" i="45"/>
  <c r="V15" i="45"/>
  <c r="U15" i="45"/>
  <c r="T15" i="45"/>
  <c r="S15" i="45"/>
  <c r="R15" i="45"/>
  <c r="R11" i="45"/>
  <c r="S10" i="45"/>
  <c r="R10" i="45"/>
  <c r="T9" i="45"/>
  <c r="S9" i="45"/>
  <c r="R9" i="45"/>
  <c r="U8" i="45"/>
  <c r="T8" i="45"/>
  <c r="S8" i="45"/>
  <c r="R8" i="45"/>
  <c r="V7" i="45"/>
  <c r="U7" i="45"/>
  <c r="T7" i="45"/>
  <c r="S7" i="45"/>
  <c r="R7" i="45"/>
  <c r="F48" i="44"/>
  <c r="F49" i="44" s="1"/>
  <c r="C41" i="44"/>
  <c r="C40" i="44"/>
  <c r="D40" i="44" s="1"/>
  <c r="C47" i="44" s="1"/>
  <c r="C39" i="44"/>
  <c r="D39" i="44"/>
  <c r="E39" i="44" s="1"/>
  <c r="D46" i="44" s="1"/>
  <c r="C38" i="44"/>
  <c r="D38" i="44" s="1"/>
  <c r="N5" i="43"/>
  <c r="N6" i="43"/>
  <c r="M5" i="43"/>
  <c r="L5" i="43"/>
  <c r="K5" i="43"/>
  <c r="M17" i="42"/>
  <c r="L17" i="42"/>
  <c r="M16" i="42"/>
  <c r="L16" i="42"/>
  <c r="M15" i="42"/>
  <c r="L15" i="42"/>
  <c r="M14" i="42"/>
  <c r="L14" i="42"/>
  <c r="M7" i="42"/>
  <c r="L3" i="42"/>
  <c r="L6" i="42" s="1"/>
  <c r="L7" i="42" s="1"/>
  <c r="J5" i="42"/>
  <c r="K4" i="42"/>
  <c r="J4" i="42"/>
  <c r="K3" i="42"/>
  <c r="K6" i="42"/>
  <c r="J3" i="42"/>
  <c r="J6" i="42"/>
  <c r="M6" i="43"/>
  <c r="L6" i="43" s="1"/>
  <c r="J14" i="42"/>
  <c r="K14" i="42"/>
  <c r="Z27" i="41"/>
  <c r="Q27" i="41"/>
  <c r="P27" i="41"/>
  <c r="V25" i="41"/>
  <c r="U33" i="41"/>
  <c r="V24" i="41"/>
  <c r="U32" i="41" s="1"/>
  <c r="V23" i="41"/>
  <c r="U31" i="41"/>
  <c r="V22" i="41"/>
  <c r="U30" i="41" s="1"/>
  <c r="V5" i="41"/>
  <c r="V11" i="41"/>
  <c r="V17" i="41" s="1"/>
  <c r="V4" i="41"/>
  <c r="V10" i="41" s="1"/>
  <c r="V16" i="41" s="1"/>
  <c r="U2" i="41"/>
  <c r="U8" i="41" s="1"/>
  <c r="U14" i="41" s="1"/>
  <c r="V6" i="41"/>
  <c r="V12" i="41" s="1"/>
  <c r="V18" i="41" s="1"/>
  <c r="W5" i="41"/>
  <c r="W11" i="41"/>
  <c r="W17" i="41" s="1"/>
  <c r="W24" i="41" s="1"/>
  <c r="W4" i="41"/>
  <c r="W10" i="41" s="1"/>
  <c r="W16" i="41" s="1"/>
  <c r="W23" i="41" s="1"/>
  <c r="V3" i="41"/>
  <c r="V9" i="41" s="1"/>
  <c r="U6" i="41"/>
  <c r="U12" i="41" s="1"/>
  <c r="U18" i="41" s="1"/>
  <c r="X4" i="41"/>
  <c r="Y3" i="41"/>
  <c r="X3" i="41"/>
  <c r="W3" i="41"/>
  <c r="P27" i="40"/>
  <c r="R19" i="40"/>
  <c r="R23" i="40"/>
  <c r="Q19" i="40"/>
  <c r="Q23" i="40" s="1"/>
  <c r="Q20" i="40"/>
  <c r="P21" i="40"/>
  <c r="P20" i="40"/>
  <c r="P19" i="40"/>
  <c r="P23" i="40" s="1"/>
  <c r="Q5" i="40"/>
  <c r="Q11" i="40" s="1"/>
  <c r="Q15" i="40" s="1"/>
  <c r="Q6" i="40"/>
  <c r="Q7" i="40"/>
  <c r="P6" i="40"/>
  <c r="P11" i="40" s="1"/>
  <c r="P7" i="40"/>
  <c r="P8" i="40"/>
  <c r="P15" i="40"/>
  <c r="S5" i="40"/>
  <c r="S11" i="40"/>
  <c r="R6" i="40"/>
  <c r="R5" i="40"/>
  <c r="R11" i="40" s="1"/>
  <c r="P5" i="40"/>
  <c r="D44" i="39"/>
  <c r="D45" i="39"/>
  <c r="D46" i="39"/>
  <c r="D49" i="39" s="1"/>
  <c r="C44" i="39"/>
  <c r="C45" i="39"/>
  <c r="C46" i="39"/>
  <c r="C49" i="39" s="1"/>
  <c r="C47" i="39"/>
  <c r="E45" i="39"/>
  <c r="F44" i="39"/>
  <c r="F49" i="39" s="1"/>
  <c r="E44" i="39"/>
  <c r="E49" i="39" s="1"/>
  <c r="F29" i="39"/>
  <c r="F34" i="39" s="1"/>
  <c r="F53" i="39" s="1"/>
  <c r="E29" i="39"/>
  <c r="E30" i="39"/>
  <c r="E34" i="39"/>
  <c r="C29" i="39"/>
  <c r="C30" i="39"/>
  <c r="C31" i="39"/>
  <c r="C34" i="39" s="1"/>
  <c r="C53" i="39" s="1"/>
  <c r="C32" i="39"/>
  <c r="D29" i="39"/>
  <c r="D30" i="39"/>
  <c r="D31" i="39"/>
  <c r="D34" i="39" s="1"/>
  <c r="D53" i="39" s="1"/>
  <c r="D54" i="39" s="1"/>
  <c r="D55" i="39" s="1"/>
  <c r="U4" i="41"/>
  <c r="U10" i="41" s="1"/>
  <c r="U16" i="41" s="1"/>
  <c r="C54" i="38"/>
  <c r="C53" i="38"/>
  <c r="C52" i="38"/>
  <c r="C51" i="38"/>
  <c r="C50" i="38"/>
  <c r="C42" i="38"/>
  <c r="D41" i="38"/>
  <c r="C41" i="38"/>
  <c r="E40" i="38"/>
  <c r="D40" i="38"/>
  <c r="C40" i="38"/>
  <c r="F39" i="38"/>
  <c r="F44" i="38"/>
  <c r="F47" i="38" s="1"/>
  <c r="D51" i="38" s="1"/>
  <c r="E51" i="38" s="1"/>
  <c r="E39" i="38"/>
  <c r="E44" i="38" s="1"/>
  <c r="E47" i="38" s="1"/>
  <c r="D52" i="38" s="1"/>
  <c r="E52" i="38" s="1"/>
  <c r="D39" i="38"/>
  <c r="D44" i="38"/>
  <c r="D47" i="38" s="1"/>
  <c r="D53" i="38" s="1"/>
  <c r="E53" i="38" s="1"/>
  <c r="C39" i="38"/>
  <c r="C44" i="38" s="1"/>
  <c r="C47" i="38" s="1"/>
  <c r="D54" i="38" s="1"/>
  <c r="E54" i="38" s="1"/>
  <c r="E54" i="37"/>
  <c r="E55" i="37" s="1"/>
  <c r="C46" i="37"/>
  <c r="D45" i="37"/>
  <c r="C52" i="37" s="1"/>
  <c r="C45" i="37"/>
  <c r="E44" i="37"/>
  <c r="D51" i="37" s="1"/>
  <c r="D54" i="37" s="1"/>
  <c r="D55" i="37" s="1"/>
  <c r="D44" i="37"/>
  <c r="C51" i="37" s="1"/>
  <c r="C54" i="37" s="1"/>
  <c r="C55" i="37" s="1"/>
  <c r="D58" i="37" s="1"/>
  <c r="C44" i="37"/>
  <c r="C39" i="37"/>
  <c r="D38" i="37"/>
  <c r="C38" i="37"/>
  <c r="E37" i="37"/>
  <c r="D37" i="37"/>
  <c r="C37" i="37"/>
  <c r="N21" i="36"/>
  <c r="L7" i="36"/>
  <c r="L14" i="36"/>
  <c r="M6" i="36"/>
  <c r="M13" i="36" s="1"/>
  <c r="M5" i="36"/>
  <c r="M12" i="36"/>
  <c r="L5" i="36"/>
  <c r="L12" i="36" s="1"/>
  <c r="L6" i="36"/>
  <c r="L13" i="36" s="1"/>
  <c r="N5" i="36"/>
  <c r="N12" i="36" s="1"/>
  <c r="M19" i="36" s="1"/>
  <c r="M21" i="36" s="1"/>
  <c r="C25" i="33"/>
  <c r="C24" i="33"/>
  <c r="C26" i="33"/>
  <c r="D29" i="32"/>
  <c r="D25" i="32"/>
  <c r="D27" i="32"/>
  <c r="D32" i="32"/>
  <c r="Q10" i="31"/>
  <c r="M8" i="31"/>
  <c r="M25" i="31"/>
  <c r="N25" i="31" s="1"/>
  <c r="J13" i="30"/>
  <c r="K8" i="30"/>
  <c r="K10" i="30"/>
  <c r="M14" i="31"/>
  <c r="N14" i="31" s="1"/>
  <c r="M16" i="31"/>
  <c r="N16" i="31"/>
  <c r="M18" i="31"/>
  <c r="N18" i="31" s="1"/>
  <c r="M20" i="31"/>
  <c r="N20" i="31"/>
  <c r="M22" i="31"/>
  <c r="N22" i="31" s="1"/>
  <c r="M24" i="31"/>
  <c r="N24" i="31"/>
  <c r="M13" i="31"/>
  <c r="N13" i="31" s="1"/>
  <c r="M15" i="31"/>
  <c r="N15" i="31"/>
  <c r="M17" i="31"/>
  <c r="N17" i="31" s="1"/>
  <c r="M19" i="31"/>
  <c r="N19" i="31"/>
  <c r="M21" i="31"/>
  <c r="N21" i="31" s="1"/>
  <c r="M23" i="31"/>
  <c r="N23" i="31"/>
  <c r="K33" i="29"/>
  <c r="L30" i="29" s="1"/>
  <c r="K27" i="29"/>
  <c r="K30" i="29" s="1"/>
  <c r="M30" i="29" s="1"/>
  <c r="N30" i="29" s="1"/>
  <c r="K24" i="29"/>
  <c r="L24" i="29"/>
  <c r="K23" i="29"/>
  <c r="L23" i="29" s="1"/>
  <c r="K22" i="29"/>
  <c r="K16" i="29"/>
  <c r="L9" i="29"/>
  <c r="K13" i="29" s="1"/>
  <c r="K18" i="29" s="1"/>
  <c r="K36" i="29" s="1"/>
  <c r="M9" i="29"/>
  <c r="N9" i="29"/>
  <c r="K9" i="29"/>
  <c r="N8" i="29"/>
  <c r="M8" i="29"/>
  <c r="L8" i="29"/>
  <c r="K8" i="29"/>
  <c r="N7" i="29"/>
  <c r="M7" i="29"/>
  <c r="L7" i="29"/>
  <c r="K7" i="29"/>
  <c r="K29" i="29"/>
  <c r="K17" i="28"/>
  <c r="K16" i="28"/>
  <c r="K11" i="28"/>
  <c r="K10" i="28"/>
  <c r="K7" i="28"/>
  <c r="F30" i="27"/>
  <c r="F29" i="27"/>
  <c r="F28" i="27"/>
  <c r="J29" i="27" s="1"/>
  <c r="F32" i="27" s="1"/>
  <c r="F35" i="27" s="1"/>
  <c r="J30" i="27"/>
  <c r="F33" i="27" s="1"/>
  <c r="D30" i="26"/>
  <c r="D31" i="26" s="1"/>
  <c r="E33" i="26" s="1"/>
  <c r="D28" i="26"/>
  <c r="D29" i="26" s="1"/>
  <c r="I40" i="13"/>
  <c r="K34" i="13"/>
  <c r="I34" i="13"/>
  <c r="K33" i="13"/>
  <c r="I33" i="13"/>
  <c r="K32" i="13"/>
  <c r="I32" i="13"/>
  <c r="K28" i="13"/>
  <c r="K29" i="13" s="1"/>
  <c r="J32" i="13" s="1"/>
  <c r="I26" i="13"/>
  <c r="I28" i="13" s="1"/>
  <c r="I29" i="13" s="1"/>
  <c r="J34" i="13" s="1"/>
  <c r="I27" i="13"/>
  <c r="J26" i="13"/>
  <c r="J28" i="13"/>
  <c r="J29" i="13" s="1"/>
  <c r="J33" i="13" s="1"/>
  <c r="K23" i="13"/>
  <c r="L20" i="13" s="1"/>
  <c r="M20" i="13" s="1"/>
  <c r="J13" i="13" s="1"/>
  <c r="L13" i="13" s="1"/>
  <c r="K22" i="13"/>
  <c r="I22" i="13"/>
  <c r="J22" i="13" s="1"/>
  <c r="J21" i="13"/>
  <c r="I21" i="13"/>
  <c r="L21" i="13" s="1"/>
  <c r="M21" i="13" s="1"/>
  <c r="J14" i="13" s="1"/>
  <c r="L14" i="13" s="1"/>
  <c r="K15" i="13"/>
  <c r="L34" i="13" s="1"/>
  <c r="K14" i="13"/>
  <c r="L33" i="13" s="1"/>
  <c r="K13" i="13"/>
  <c r="L32" i="13" s="1"/>
  <c r="I97" i="12"/>
  <c r="H97" i="12"/>
  <c r="D97" i="12"/>
  <c r="I96" i="12"/>
  <c r="H96" i="12"/>
  <c r="D96" i="12"/>
  <c r="I95" i="12"/>
  <c r="H95" i="12"/>
  <c r="D95" i="12"/>
  <c r="D88" i="12"/>
  <c r="E86" i="12"/>
  <c r="D86" i="12"/>
  <c r="E84" i="12"/>
  <c r="E85" i="12" s="1"/>
  <c r="D90" i="12" s="1"/>
  <c r="F97" i="12" s="1"/>
  <c r="J97" i="12" s="1"/>
  <c r="D77" i="12"/>
  <c r="E75" i="12"/>
  <c r="E74" i="12"/>
  <c r="E69" i="12"/>
  <c r="F95" i="12"/>
  <c r="J95" i="12" s="1"/>
  <c r="E65" i="12"/>
  <c r="D65" i="12"/>
  <c r="E64" i="12"/>
  <c r="I64" i="12" s="1"/>
  <c r="E96" i="12" s="1"/>
  <c r="K96" i="12" s="1"/>
  <c r="L96" i="12" s="1"/>
  <c r="M96" i="12" s="1"/>
  <c r="D64" i="12"/>
  <c r="F48" i="12"/>
  <c r="E48" i="12"/>
  <c r="E55" i="12" s="1"/>
  <c r="E57" i="12" s="1"/>
  <c r="E58" i="12" s="1"/>
  <c r="F64" i="12" s="1"/>
  <c r="G64" i="12" s="1"/>
  <c r="F57" i="12"/>
  <c r="F58" i="12"/>
  <c r="F63" i="12"/>
  <c r="G63" i="12" s="1"/>
  <c r="E63" i="12"/>
  <c r="I63" i="12" s="1"/>
  <c r="E95" i="12" s="1"/>
  <c r="K95" i="12" s="1"/>
  <c r="L95" i="12" s="1"/>
  <c r="D63" i="12"/>
  <c r="D50" i="12"/>
  <c r="E49" i="12"/>
  <c r="D49" i="12"/>
  <c r="D56" i="12" s="1"/>
  <c r="D48" i="12"/>
  <c r="L39" i="11"/>
  <c r="L40" i="11" s="1"/>
  <c r="L42" i="11" s="1"/>
  <c r="N30" i="11"/>
  <c r="K30" i="11"/>
  <c r="Q30" i="11" s="1"/>
  <c r="N29" i="11"/>
  <c r="K29" i="11"/>
  <c r="Q29" i="11"/>
  <c r="K28" i="11"/>
  <c r="Q28" i="11"/>
  <c r="N28" i="11"/>
  <c r="K24" i="11"/>
  <c r="J24" i="11"/>
  <c r="L24" i="11"/>
  <c r="M30" i="11" s="1"/>
  <c r="K23" i="11"/>
  <c r="J23" i="11"/>
  <c r="L23" i="11"/>
  <c r="M29" i="11" s="1"/>
  <c r="K22" i="11"/>
  <c r="L22" i="11" s="1"/>
  <c r="M28" i="11" s="1"/>
  <c r="K14" i="11"/>
  <c r="L30" i="11"/>
  <c r="J14" i="11"/>
  <c r="K13" i="11"/>
  <c r="L29" i="11" s="1"/>
  <c r="P29" i="11" s="1"/>
  <c r="S29" i="11" s="1"/>
  <c r="J13" i="11"/>
  <c r="L12" i="11"/>
  <c r="K12" i="11"/>
  <c r="L28" i="11"/>
  <c r="P28" i="11" s="1"/>
  <c r="S28" i="11" s="1"/>
  <c r="J12" i="11"/>
  <c r="K5" i="11"/>
  <c r="K8" i="11" s="1"/>
  <c r="K9" i="11" s="1"/>
  <c r="L13" i="11" s="1"/>
  <c r="J6" i="11"/>
  <c r="J8" i="11" s="1"/>
  <c r="J9" i="11" s="1"/>
  <c r="L14" i="11" s="1"/>
  <c r="N14" i="11" s="1"/>
  <c r="J5" i="11"/>
  <c r="N12" i="11"/>
  <c r="N25" i="10"/>
  <c r="P11" i="10"/>
  <c r="Q24" i="10"/>
  <c r="N24" i="10"/>
  <c r="P10" i="10"/>
  <c r="K24" i="10" s="1"/>
  <c r="Q23" i="10"/>
  <c r="Q22" i="10" s="1"/>
  <c r="N23" i="10"/>
  <c r="N22" i="10"/>
  <c r="M20" i="10"/>
  <c r="L20" i="10"/>
  <c r="K20" i="10"/>
  <c r="M8" i="10"/>
  <c r="M12" i="10"/>
  <c r="M13" i="10" s="1"/>
  <c r="L8" i="10"/>
  <c r="L12" i="10" s="1"/>
  <c r="L9" i="10"/>
  <c r="K10" i="10"/>
  <c r="P9" i="10"/>
  <c r="K23" i="10"/>
  <c r="K9" i="10"/>
  <c r="Q8" i="10"/>
  <c r="L22" i="10" s="1"/>
  <c r="P8" i="10"/>
  <c r="K22" i="10" s="1"/>
  <c r="K8" i="10"/>
  <c r="K12" i="10" s="1"/>
  <c r="F39" i="9"/>
  <c r="D39" i="9"/>
  <c r="F38" i="9"/>
  <c r="D38" i="9"/>
  <c r="F37" i="9"/>
  <c r="D37" i="9"/>
  <c r="E33" i="9"/>
  <c r="C37" i="9" s="1"/>
  <c r="E37" i="9" s="1"/>
  <c r="G37" i="9" s="1"/>
  <c r="C36" i="9"/>
  <c r="E36" i="9" s="1"/>
  <c r="G36" i="9" s="1"/>
  <c r="D36" i="9"/>
  <c r="F36" i="9"/>
  <c r="C30" i="9"/>
  <c r="B30" i="9"/>
  <c r="D29" i="9"/>
  <c r="C29" i="9"/>
  <c r="B29" i="9"/>
  <c r="E28" i="9"/>
  <c r="D28" i="9"/>
  <c r="C28" i="9"/>
  <c r="B28" i="9"/>
  <c r="E27" i="9"/>
  <c r="D27" i="9"/>
  <c r="C27" i="9"/>
  <c r="R8" i="10"/>
  <c r="M22" i="10"/>
  <c r="O22" i="10" s="1"/>
  <c r="P22" i="10" s="1"/>
  <c r="R22" i="10" s="1"/>
  <c r="S8" i="10"/>
  <c r="M16" i="8"/>
  <c r="L16" i="8"/>
  <c r="K16" i="8"/>
  <c r="J11" i="8"/>
  <c r="N15" i="8" s="1"/>
  <c r="M15" i="8"/>
  <c r="L15" i="8"/>
  <c r="K15" i="8"/>
  <c r="M14" i="8"/>
  <c r="L14" i="8"/>
  <c r="O14" i="8" s="1"/>
  <c r="P14" i="8" s="1"/>
  <c r="K14" i="8"/>
  <c r="L15" i="7"/>
  <c r="L14" i="7"/>
  <c r="L16" i="7" s="1"/>
  <c r="O10" i="7"/>
  <c r="N10" i="7"/>
  <c r="L10" i="7"/>
  <c r="S9" i="7"/>
  <c r="P9" i="7"/>
  <c r="R9" i="7" s="1"/>
  <c r="T9" i="7" s="1"/>
  <c r="J9" i="7"/>
  <c r="J8" i="7"/>
  <c r="S8" i="7"/>
  <c r="P8" i="7"/>
  <c r="R8" i="7" s="1"/>
  <c r="T8" i="7" s="1"/>
  <c r="S7" i="7"/>
  <c r="S10" i="7"/>
  <c r="P7" i="7"/>
  <c r="J16" i="6"/>
  <c r="K4" i="6"/>
  <c r="M10" i="6"/>
  <c r="N10" i="6" s="1"/>
  <c r="O10" i="6" s="1"/>
  <c r="L10" i="6"/>
  <c r="K10" i="6"/>
  <c r="L9" i="6"/>
  <c r="L8" i="6"/>
  <c r="L11" i="6" s="1"/>
  <c r="K9" i="6"/>
  <c r="M8" i="6"/>
  <c r="N8" i="6"/>
  <c r="O8" i="6" s="1"/>
  <c r="K8" i="6"/>
  <c r="K11" i="6"/>
  <c r="M9" i="6"/>
  <c r="Q8" i="7"/>
  <c r="J7" i="7"/>
  <c r="Q7" i="7" s="1"/>
  <c r="R7" i="7" s="1"/>
  <c r="N14" i="8"/>
  <c r="N9" i="6"/>
  <c r="O9" i="6" s="1"/>
  <c r="Q9" i="7"/>
  <c r="K15" i="5"/>
  <c r="K14" i="5"/>
  <c r="K16" i="5"/>
  <c r="L10" i="5"/>
  <c r="K10" i="5"/>
  <c r="L9" i="5"/>
  <c r="L11" i="5"/>
  <c r="K9" i="5"/>
  <c r="K11" i="5"/>
  <c r="L5" i="5"/>
  <c r="K5" i="5"/>
  <c r="L4" i="5"/>
  <c r="L6" i="5"/>
  <c r="K4" i="5"/>
  <c r="K6" i="5"/>
  <c r="O8" i="4"/>
  <c r="N8" i="4"/>
  <c r="P8" i="4" s="1"/>
  <c r="P9" i="4" s="1"/>
  <c r="M8" i="4"/>
  <c r="K15" i="4" s="1"/>
  <c r="O7" i="4"/>
  <c r="N7" i="4"/>
  <c r="P7" i="4"/>
  <c r="L7" i="4"/>
  <c r="K7" i="4"/>
  <c r="M7" i="4" s="1"/>
  <c r="K10" i="3"/>
  <c r="M8" i="3"/>
  <c r="M7" i="3"/>
  <c r="M5" i="3"/>
  <c r="M4" i="3"/>
  <c r="C41" i="2"/>
  <c r="C40" i="2"/>
  <c r="C39" i="2"/>
  <c r="C38" i="2"/>
  <c r="C43" i="2" s="1"/>
  <c r="C34" i="2"/>
  <c r="C33" i="2"/>
  <c r="C32" i="2"/>
  <c r="C31" i="2"/>
  <c r="C30" i="2"/>
  <c r="C35" i="2" s="1"/>
  <c r="B33" i="1"/>
  <c r="B30" i="1"/>
  <c r="D79" i="12"/>
  <c r="F96" i="12" s="1"/>
  <c r="J96" i="12" s="1"/>
  <c r="T7" i="7" l="1"/>
  <c r="U7" i="7" s="1"/>
  <c r="R10" i="7"/>
  <c r="T10" i="7" s="1"/>
  <c r="U10" i="7" s="1"/>
  <c r="U12" i="7" s="1"/>
  <c r="O15" i="8"/>
  <c r="P15" i="8" s="1"/>
  <c r="M9" i="4"/>
  <c r="K14" i="4"/>
  <c r="K20" i="4" s="1"/>
  <c r="U8" i="7"/>
  <c r="U9" i="7"/>
  <c r="M95" i="12"/>
  <c r="M32" i="13"/>
  <c r="H37" i="9"/>
  <c r="L13" i="10"/>
  <c r="Q9" i="10"/>
  <c r="P30" i="11"/>
  <c r="S30" i="11" s="1"/>
  <c r="S31" i="11" s="1"/>
  <c r="M33" i="13"/>
  <c r="N16" i="8"/>
  <c r="O16" i="8" s="1"/>
  <c r="P16" i="8" s="1"/>
  <c r="D33" i="9"/>
  <c r="X10" i="41"/>
  <c r="X16" i="41" s="1"/>
  <c r="X23" i="41" s="1"/>
  <c r="N10" i="51"/>
  <c r="D44" i="52"/>
  <c r="D54" i="52" s="1"/>
  <c r="F54" i="52" s="1"/>
  <c r="C44" i="52"/>
  <c r="C75" i="57"/>
  <c r="N11" i="6"/>
  <c r="O11" i="6" s="1"/>
  <c r="K25" i="10"/>
  <c r="N13" i="11"/>
  <c r="D55" i="12"/>
  <c r="D57" i="12" s="1"/>
  <c r="D58" i="12" s="1"/>
  <c r="F65" i="12" s="1"/>
  <c r="G65" i="12" s="1"/>
  <c r="I65" i="12" s="1"/>
  <c r="E97" i="12" s="1"/>
  <c r="K97" i="12" s="1"/>
  <c r="L97" i="12" s="1"/>
  <c r="L20" i="36"/>
  <c r="Q27" i="40"/>
  <c r="E38" i="44"/>
  <c r="C45" i="44"/>
  <c r="J37" i="55"/>
  <c r="J40" i="55" s="1"/>
  <c r="H40" i="55"/>
  <c r="L22" i="13"/>
  <c r="M22" i="13" s="1"/>
  <c r="J15" i="13" s="1"/>
  <c r="L15" i="13" s="1"/>
  <c r="M34" i="13" s="1"/>
  <c r="K8" i="28"/>
  <c r="K31" i="29"/>
  <c r="D50" i="38"/>
  <c r="E50" i="38" s="1"/>
  <c r="F54" i="39"/>
  <c r="F55" i="39" s="1"/>
  <c r="R15" i="40"/>
  <c r="R27" i="40" s="1"/>
  <c r="S15" i="40"/>
  <c r="S27" i="40" s="1"/>
  <c r="V15" i="41"/>
  <c r="W9" i="41"/>
  <c r="K6" i="43"/>
  <c r="K9" i="43"/>
  <c r="J15" i="42"/>
  <c r="K15" i="42" s="1"/>
  <c r="K7" i="42"/>
  <c r="N12" i="48"/>
  <c r="M12" i="48"/>
  <c r="M14" i="48" s="1"/>
  <c r="D59" i="50"/>
  <c r="D60" i="50" s="1"/>
  <c r="D62" i="50" s="1"/>
  <c r="F62" i="50" s="1"/>
  <c r="L6" i="56"/>
  <c r="L19" i="36"/>
  <c r="E53" i="39"/>
  <c r="E54" i="39" s="1"/>
  <c r="E55" i="39" s="1"/>
  <c r="D56" i="39" s="1"/>
  <c r="I34" i="49"/>
  <c r="I33" i="49"/>
  <c r="B55" i="57"/>
  <c r="L31" i="29"/>
  <c r="L21" i="36"/>
  <c r="N23" i="36" s="1"/>
  <c r="U3" i="41"/>
  <c r="U9" i="41" s="1"/>
  <c r="U15" i="41" s="1"/>
  <c r="U5" i="41"/>
  <c r="U11" i="41" s="1"/>
  <c r="U17" i="41" s="1"/>
  <c r="L29" i="29"/>
  <c r="M29" i="29" s="1"/>
  <c r="C46" i="44"/>
  <c r="E45" i="55"/>
  <c r="F45" i="55" s="1"/>
  <c r="G45" i="55" s="1"/>
  <c r="H45" i="55" s="1"/>
  <c r="K11" i="47"/>
  <c r="K16" i="47" s="1"/>
  <c r="L16" i="47" s="1"/>
  <c r="J22" i="47"/>
  <c r="K22" i="47"/>
  <c r="L22" i="47"/>
  <c r="L25" i="47" s="1"/>
  <c r="J23" i="47"/>
  <c r="K23" i="47"/>
  <c r="K25" i="47" s="1"/>
  <c r="M21" i="47"/>
  <c r="M25" i="47" s="1"/>
  <c r="M29" i="47" s="1"/>
  <c r="J21" i="47"/>
  <c r="L21" i="47"/>
  <c r="K21" i="8" l="1"/>
  <c r="M97" i="12"/>
  <c r="E107" i="12"/>
  <c r="E111" i="12" s="1"/>
  <c r="E112" i="12" s="1"/>
  <c r="E113" i="12" s="1"/>
  <c r="N29" i="29"/>
  <c r="H48" i="55"/>
  <c r="J45" i="55"/>
  <c r="J48" i="55" s="1"/>
  <c r="J7" i="42"/>
  <c r="J17" i="42" s="1"/>
  <c r="K17" i="42" s="1"/>
  <c r="J16" i="42"/>
  <c r="K16" i="42" s="1"/>
  <c r="X9" i="41"/>
  <c r="W15" i="41"/>
  <c r="W22" i="41" s="1"/>
  <c r="W26" i="41" s="1"/>
  <c r="J11" i="47"/>
  <c r="K17" i="47" s="1"/>
  <c r="L17" i="47" s="1"/>
  <c r="J24" i="47" s="1"/>
  <c r="J25" i="47" s="1"/>
  <c r="Q29" i="40"/>
  <c r="C38" i="9"/>
  <c r="E38" i="9" s="1"/>
  <c r="G38" i="9" s="1"/>
  <c r="H38" i="9" s="1"/>
  <c r="C33" i="9"/>
  <c r="C39" i="9" s="1"/>
  <c r="E39" i="9" s="1"/>
  <c r="G39" i="9" s="1"/>
  <c r="M19" i="42"/>
  <c r="M21" i="42" s="1"/>
  <c r="C48" i="44"/>
  <c r="N13" i="51"/>
  <c r="N15" i="51" s="1"/>
  <c r="N16" i="51" s="1"/>
  <c r="N11" i="51"/>
  <c r="L23" i="10"/>
  <c r="R9" i="10"/>
  <c r="K13" i="10"/>
  <c r="Q11" i="10" s="1"/>
  <c r="Q10" i="10"/>
  <c r="M31" i="29"/>
  <c r="N31" i="29" s="1"/>
  <c r="O31" i="29" s="1"/>
  <c r="F38" i="44"/>
  <c r="E45" i="44" s="1"/>
  <c r="E48" i="44" s="1"/>
  <c r="E49" i="44" s="1"/>
  <c r="D45" i="44"/>
  <c r="D48" i="44" s="1"/>
  <c r="D49" i="44" s="1"/>
  <c r="K11" i="43"/>
  <c r="K5" i="28"/>
  <c r="K18" i="28"/>
  <c r="K14" i="28" s="1"/>
  <c r="C46" i="52"/>
  <c r="D55" i="52"/>
  <c r="F55" i="52" s="1"/>
  <c r="C57" i="52" s="1"/>
  <c r="K31" i="47"/>
  <c r="K29" i="47"/>
  <c r="K36" i="47" s="1"/>
  <c r="K30" i="47"/>
  <c r="K37" i="47" s="1"/>
  <c r="L29" i="47"/>
  <c r="L30" i="47"/>
  <c r="J32" i="47" l="1"/>
  <c r="J30" i="47"/>
  <c r="J37" i="47" s="1"/>
  <c r="J29" i="47"/>
  <c r="J36" i="47" s="1"/>
  <c r="J31" i="47"/>
  <c r="J38" i="47" s="1"/>
  <c r="J45" i="47" s="1"/>
  <c r="O29" i="29"/>
  <c r="O30" i="29"/>
  <c r="R10" i="10"/>
  <c r="L24" i="10"/>
  <c r="B53" i="9"/>
  <c r="H39" i="9"/>
  <c r="H40" i="9" s="1"/>
  <c r="L25" i="10"/>
  <c r="R11" i="10"/>
  <c r="Y9" i="41"/>
  <c r="Y15" i="41" s="1"/>
  <c r="X15" i="41"/>
  <c r="X22" i="41" s="1"/>
  <c r="X26" i="41" s="1"/>
  <c r="M23" i="10"/>
  <c r="O23" i="10" s="1"/>
  <c r="P23" i="10" s="1"/>
  <c r="R23" i="10" s="1"/>
  <c r="S9" i="10"/>
  <c r="C49" i="44"/>
  <c r="C51" i="44" s="1"/>
  <c r="L33" i="29"/>
  <c r="J44" i="47"/>
  <c r="K44" i="47"/>
  <c r="K43" i="47"/>
  <c r="J43" i="47"/>
  <c r="X27" i="41" l="1"/>
  <c r="S10" i="10"/>
  <c r="M24" i="10"/>
  <c r="O24" i="10" s="1"/>
  <c r="P24" i="10" s="1"/>
  <c r="R24" i="10" s="1"/>
  <c r="R27" i="10" s="1"/>
  <c r="Y22" i="41"/>
  <c r="Y26" i="41" s="1"/>
  <c r="Y27" i="41" s="1"/>
  <c r="V31" i="41" s="1"/>
  <c r="V30" i="41"/>
  <c r="J46" i="47"/>
  <c r="S13" i="10"/>
  <c r="K17" i="10" s="1"/>
  <c r="S11" i="10"/>
  <c r="M25" i="10"/>
  <c r="O25" i="10" s="1"/>
  <c r="P25" i="10" s="1"/>
  <c r="R25" i="10" s="1"/>
  <c r="K35" i="29"/>
  <c r="K38" i="29" s="1"/>
  <c r="K46" i="47"/>
  <c r="K47" i="47" s="1"/>
  <c r="J47" i="47" s="1"/>
  <c r="J50" i="47" s="1"/>
  <c r="V32" i="41" l="1"/>
  <c r="W27" i="41"/>
  <c r="V33" i="41" s="1"/>
  <c r="V36" i="41" s="1"/>
  <c r="V37" i="41" s="1"/>
</calcChain>
</file>

<file path=xl/sharedStrings.xml><?xml version="1.0" encoding="utf-8"?>
<sst xmlns="http://schemas.openxmlformats.org/spreadsheetml/2006/main" count="2000" uniqueCount="862">
  <si>
    <t>Points</t>
  </si>
  <si>
    <t>Given the following information on policy transactions:</t>
  </si>
  <si>
    <t>Policy</t>
  </si>
  <si>
    <t>Transaction Date</t>
  </si>
  <si>
    <t>Action</t>
  </si>
  <si>
    <t>Full-Term Written Premium</t>
  </si>
  <si>
    <t>A</t>
  </si>
  <si>
    <t>Policy Inception</t>
  </si>
  <si>
    <t>B</t>
  </si>
  <si>
    <t>Endorsement</t>
  </si>
  <si>
    <t>Audit Premium</t>
  </si>
  <si>
    <t>C</t>
  </si>
  <si>
    <t>Cancellation</t>
  </si>
  <si>
    <t>D</t>
  </si>
  <si>
    <t>Policy Renewal</t>
  </si>
  <si>
    <t>E</t>
  </si>
  <si>
    <t xml:space="preserve">•    Full-term written premium represents the policy premium if policy characteristics </t>
  </si>
  <si>
    <t xml:space="preserve">     shown were in place from original effective date date until original expiration date.</t>
  </si>
  <si>
    <t>•    All policies are annual.</t>
  </si>
  <si>
    <t>a.</t>
  </si>
  <si>
    <t>Calculate the in-force premium as of September 15, 2015.</t>
  </si>
  <si>
    <t>b.</t>
  </si>
  <si>
    <t>Calculate the 2015 policy year written premium as of December 31, 2017.</t>
  </si>
  <si>
    <t>Policy C was canceled 5 months after written so it needs to be adjusted. All endorsement added after inception will be adjusted also.</t>
  </si>
  <si>
    <t>In-force Prem 9/15/15</t>
  </si>
  <si>
    <t>Total</t>
  </si>
  <si>
    <t>PY 2015 WP</t>
  </si>
  <si>
    <t>CY incurred = paid + change in reserve</t>
  </si>
  <si>
    <t>a</t>
  </si>
  <si>
    <t>Given the following payment and reserve information about two different claims on two different policies:</t>
  </si>
  <si>
    <t>i</t>
  </si>
  <si>
    <t>2016 CY inc loss</t>
  </si>
  <si>
    <t>ii</t>
  </si>
  <si>
    <t>2017 CY inc loss</t>
  </si>
  <si>
    <t>Policy Number</t>
  </si>
  <si>
    <t>Policy Effective Date</t>
  </si>
  <si>
    <t>Accident Date</t>
  </si>
  <si>
    <t>Incremental Loss Payment ($)</t>
  </si>
  <si>
    <t>Ending Case Reserve ($)</t>
  </si>
  <si>
    <t>AY incurred = paid + end reserve</t>
  </si>
  <si>
    <t>b</t>
  </si>
  <si>
    <t>2016 AY Inc Loss</t>
  </si>
  <si>
    <t>2017 AY Inc Loss</t>
  </si>
  <si>
    <t>c</t>
  </si>
  <si>
    <t>d</t>
  </si>
  <si>
    <t>One advantage is that the data is fixed at the end of the calendar year. There is no wait for development so the data can be used immediately</t>
  </si>
  <si>
    <t xml:space="preserve">a. </t>
  </si>
  <si>
    <t>One disadvantage is that it provides a poor match of premiums to losses, since it includes all loss transactions that occur during the year</t>
  </si>
  <si>
    <t xml:space="preserve">Calculate the incurred losses for each of the following calendar years: </t>
  </si>
  <si>
    <t>i.  2016</t>
  </si>
  <si>
    <t>ii. 2017</t>
  </si>
  <si>
    <t>Calculate the incurred losses for each of the following accident years evaluated as of December 31, 2017:</t>
  </si>
  <si>
    <t>c.</t>
  </si>
  <si>
    <t>Calculate the incurred losses for policy year 2016 evaluated as of December 31, 2017.</t>
  </si>
  <si>
    <t>d.</t>
  </si>
  <si>
    <t>Briefly descirbe one disadvantage and one advantage of using calendar year losses for ratemaking.</t>
  </si>
  <si>
    <t>CY 2016</t>
  </si>
  <si>
    <t>CY 2017</t>
  </si>
  <si>
    <t>Paid</t>
  </si>
  <si>
    <t>Case</t>
  </si>
  <si>
    <t>Incurred</t>
  </si>
  <si>
    <t>AY</t>
  </si>
  <si>
    <t>Cumulative Incurred</t>
  </si>
  <si>
    <t>PY</t>
  </si>
  <si>
    <t>advantage: no development after the calendar year is over</t>
  </si>
  <si>
    <t>disadvantage: poor match between premiums and losses</t>
  </si>
  <si>
    <t>Policy Num</t>
  </si>
  <si>
    <t>2016 CY Incurred</t>
  </si>
  <si>
    <t>2017 CY Incurred</t>
  </si>
  <si>
    <t>2016 AY Incurred</t>
  </si>
  <si>
    <t>2017 AY Incurred</t>
  </si>
  <si>
    <t>2016 PY Incurred</t>
  </si>
  <si>
    <t>Advantage - CY losses are final at the end of the year so development does not need to be estimated</t>
  </si>
  <si>
    <t>Disadvantage - CY losses are not a very good match with the premium.</t>
  </si>
  <si>
    <t>I will calculate an excess loss load that will apply to the losses capped at $750k. I will use the data from accident years 2008-2017 for a more stable estimate</t>
  </si>
  <si>
    <t>Given the following information evaluated as of December 31, 2017:</t>
  </si>
  <si>
    <t>Excess Loss Load</t>
  </si>
  <si>
    <t>trend period: 7/1/XX to 7/1/19</t>
  </si>
  <si>
    <t>Calendar / Accident Year</t>
  </si>
  <si>
    <t>Earned Premium ($000)</t>
  </si>
  <si>
    <t>On-Level Factor</t>
  </si>
  <si>
    <t>Ultimate Ground-up Losses ($000s)</t>
  </si>
  <si>
    <t>Ultimate Losses ($000s) Excess of $750,000</t>
  </si>
  <si>
    <t>Year</t>
  </si>
  <si>
    <t>Onlevel EP ($000)</t>
  </si>
  <si>
    <t>Ult Trended  Losses capped at $750k ($000)</t>
  </si>
  <si>
    <t>Ult Trended Loss with Excess Load applied ($000)</t>
  </si>
  <si>
    <t>Trended Ult Loss Ratio</t>
  </si>
  <si>
    <t>Unlimited loss trend</t>
  </si>
  <si>
    <t>total</t>
  </si>
  <si>
    <t>Limited loss trend</t>
  </si>
  <si>
    <t>Ultimate trended ground-up losses for accident years 2008 - 2017 ($000s)</t>
  </si>
  <si>
    <t>Ultimate trended losses excess of $750,000 for accident years 2008 - 2017 ($000s)</t>
  </si>
  <si>
    <t>It is appears appropriate to use a large loss adjustment for 2015 because it appears that a large loss occurred in that year. There is $26 million in ult loss above $750k in 2015, while the average excess loss per year from 2008-2017 is approximately $4.5 million</t>
  </si>
  <si>
    <t>•    There is no premium trend.</t>
  </si>
  <si>
    <t>avg excess</t>
  </si>
  <si>
    <t>•    Policies are written on an annual basis.</t>
  </si>
  <si>
    <t>•    Rates are in effect for one year.</t>
  </si>
  <si>
    <t xml:space="preserve">Calculate the trended ultimate loss ratio for accident years 2015 to 2017 to be used to determine a rate change </t>
  </si>
  <si>
    <t>effective July 1, 2018.</t>
  </si>
  <si>
    <t>Briefly explain whether or not it is appropriate to use a large loss adjustment in this situation.</t>
  </si>
  <si>
    <t>Trend 7/1/2018 to 7/1/2019 to 7/1/2020 --&gt; trend EP to 7/1/19, trend WP to 1/1/19</t>
  </si>
  <si>
    <t>trend period</t>
  </si>
  <si>
    <t>ult losse NET 750k</t>
  </si>
  <si>
    <t>limited loss trend</t>
  </si>
  <si>
    <t>trended limited losses 000</t>
  </si>
  <si>
    <t>OLEP 000</t>
  </si>
  <si>
    <t>LR</t>
  </si>
  <si>
    <t>LR incl Large Loss Adjustment</t>
  </si>
  <si>
    <t>Will use a large loss adjustment, rationality explained below</t>
  </si>
  <si>
    <t>SELECT</t>
  </si>
  <si>
    <t>Large Loss Adjustment Using 10 Years Data</t>
  </si>
  <si>
    <t>Ground up loss total</t>
  </si>
  <si>
    <t>Select all year weighted average since seeing volatility</t>
  </si>
  <si>
    <t>XS loss ttotal</t>
  </si>
  <si>
    <t>believe since not stable, best to use avearge</t>
  </si>
  <si>
    <t>Large Loss Adjustment</t>
  </si>
  <si>
    <t>have applied a large loss adjustment to the loss ratio since large losses behave differently</t>
  </si>
  <si>
    <t>Yes, it is appropriate to  use a large lsos adjustment here</t>
  </si>
  <si>
    <t>can see that large losses occur sporatically throughout data but do not make up such a large percentage of hsitoric data to be left within dataset</t>
  </si>
  <si>
    <t>best to develop and trend these losses separately to smooth out data year over year.</t>
  </si>
  <si>
    <t>a.)</t>
  </si>
  <si>
    <t>Loss Trend*</t>
  </si>
  <si>
    <t>Losses</t>
  </si>
  <si>
    <t>OLEP</t>
  </si>
  <si>
    <t>Excess Load</t>
  </si>
  <si>
    <t>Total Losses</t>
  </si>
  <si>
    <t>Loss Ratio</t>
  </si>
  <si>
    <t>Trended from the average accident date of historical period (7/1) to average accident date of the future 07/01/2019</t>
  </si>
  <si>
    <t>Ultimate Loss Ratio:</t>
  </si>
  <si>
    <t>Taking the average assuming the differences are random fluctuations.</t>
  </si>
  <si>
    <t>b.)</t>
  </si>
  <si>
    <t>Yes, we want to use a large loss adjustment so that we do not overestimate losses if large losses are in our data or underestimate losses</t>
  </si>
  <si>
    <t>if the large losses are not in our data. This keeps the stability of losses in case of large losses.</t>
  </si>
  <si>
    <t>Given the following exposure and loss data relevant to a line of property insurance:</t>
  </si>
  <si>
    <t>Accident</t>
  </si>
  <si>
    <t>Earned</t>
  </si>
  <si>
    <t>Cumulative Reported Claims ($) evaluated as of (months):</t>
  </si>
  <si>
    <t>Exposures</t>
  </si>
  <si>
    <t>•    Losses are fully developed at 48 months.</t>
  </si>
  <si>
    <t>Calculate the annual loss cost trend.</t>
  </si>
  <si>
    <t xml:space="preserve">Calculate the projected loss cost per exposure for policies written between January 1, 2018 and December 31, 2018 given </t>
  </si>
  <si>
    <t xml:space="preserve">a new legislative reform that will increase loss costs for claims reported on or after January 1, 2018 by 20%. </t>
  </si>
  <si>
    <t>Briefly descirbe two factors that drive loss cost trends.</t>
  </si>
  <si>
    <t>ATAs</t>
  </si>
  <si>
    <t>ATUs</t>
  </si>
  <si>
    <t>ATU</t>
  </si>
  <si>
    <t>Current Losses</t>
  </si>
  <si>
    <t>Ult Losses</t>
  </si>
  <si>
    <t>Loss Cost</t>
  </si>
  <si>
    <t>Annual Trend</t>
  </si>
  <si>
    <t>annual loss cost trend</t>
  </si>
  <si>
    <t>Assumptions:</t>
  </si>
  <si>
    <t>Policies are annual</t>
  </si>
  <si>
    <t>The 2% trend continues beneath te 20% bump from the legislative reform.</t>
  </si>
  <si>
    <t>Loss development pattern remains unchanged</t>
  </si>
  <si>
    <t>Average Accident date of PY 2018 policies</t>
  </si>
  <si>
    <t>Trend from</t>
  </si>
  <si>
    <t>Projected Loss Cost</t>
  </si>
  <si>
    <t>1 - Mix of business shifts over time can trend loss costs either way based on whether the book is skewing more toward higher cost insureds or lower.</t>
  </si>
  <si>
    <t>2 - Inflation also can cause upward loss cost trends over time.</t>
  </si>
  <si>
    <t>reported claims</t>
  </si>
  <si>
    <t>CDF</t>
  </si>
  <si>
    <t>Indicated Ult</t>
  </si>
  <si>
    <t>Loss Cost / Pure premium</t>
  </si>
  <si>
    <t>trend</t>
  </si>
  <si>
    <t>OLF</t>
  </si>
  <si>
    <t>on level ult</t>
  </si>
  <si>
    <t>on level trended ult</t>
  </si>
  <si>
    <t>trend pd</t>
  </si>
  <si>
    <t>on level trended loss cost</t>
  </si>
  <si>
    <t>loss cost trends can be broken down into two factors: frequency and severity</t>
  </si>
  <si>
    <t>projected loss cost for 2018 rate</t>
  </si>
  <si>
    <t>these two factors could change for different reasons, which is why trends are applied separately when possible</t>
  </si>
  <si>
    <t>I have assumed that the exposure base is non-inflationary</t>
  </si>
  <si>
    <t>together they make the loss cost trend</t>
  </si>
  <si>
    <t>an exampleon how these two factors change for different reasons:</t>
  </si>
  <si>
    <t>suppose an insurance company decides to raise their minimum deductible from $250 to $500</t>
  </si>
  <si>
    <t xml:space="preserve">then frequency will decrease because the insurer will handle fewer small claims </t>
  </si>
  <si>
    <t>and severity will increase because the insurer will no longer have the data for the small claims below the deductible</t>
  </si>
  <si>
    <t>First to find the CDFs</t>
  </si>
  <si>
    <t>Given the following as of December 31, 2017:</t>
  </si>
  <si>
    <t>Accident Year</t>
  </si>
  <si>
    <t>12-24</t>
  </si>
  <si>
    <t>24-36</t>
  </si>
  <si>
    <t>36-Ult</t>
  </si>
  <si>
    <t>Rate Change History</t>
  </si>
  <si>
    <t>Effective Date</t>
  </si>
  <si>
    <t>Change</t>
  </si>
  <si>
    <t>Average and Select LDF</t>
  </si>
  <si>
    <t>Stable. Just choose these</t>
  </si>
  <si>
    <t>Calendar Year</t>
  </si>
  <si>
    <t>Paid L&amp;LAE</t>
  </si>
  <si>
    <t>EP</t>
  </si>
  <si>
    <t>% Paid</t>
  </si>
  <si>
    <t>B-F Ult</t>
  </si>
  <si>
    <t>Earned Premium</t>
  </si>
  <si>
    <t>Cumulative Paid Loss + ALAE ($) as of (months)</t>
  </si>
  <si>
    <t>On-Level Prem</t>
  </si>
  <si>
    <t>Annual loss and ALAE trend</t>
  </si>
  <si>
    <t>average</t>
  </si>
  <si>
    <t>Annual premium trend</t>
  </si>
  <si>
    <t>rate level</t>
  </si>
  <si>
    <t>Curr Rate Level</t>
  </si>
  <si>
    <t>OL Factor</t>
  </si>
  <si>
    <t>Fixed expense ratio</t>
  </si>
  <si>
    <t>Variable expense ratio</t>
  </si>
  <si>
    <t>Expected Loss &amp; ALAE Ratio</t>
  </si>
  <si>
    <t>ULAE provision (% of loss and ALAE)</t>
  </si>
  <si>
    <t>Indicated rate change for policies effective July 1, 2018</t>
  </si>
  <si>
    <t>using the last three accident years of experience</t>
  </si>
  <si>
    <t>B-F Ult L&amp;LAE</t>
  </si>
  <si>
    <t>Trended Fctr</t>
  </si>
  <si>
    <t>OL Fctr</t>
  </si>
  <si>
    <t>Prem Trend Fctr</t>
  </si>
  <si>
    <t>Trended OLEP</t>
  </si>
  <si>
    <t>Trended Ult L&amp;LAE</t>
  </si>
  <si>
    <t>•    Exposures are written evenly throughout each calendar year.</t>
  </si>
  <si>
    <t>•    There is no development beyond 36 months.</t>
  </si>
  <si>
    <t>•    Rates are to be in effect for one year.</t>
  </si>
  <si>
    <t>Loss is trended from 7/1/201x to the future average AD of 7/1/2019</t>
  </si>
  <si>
    <t>Choose</t>
  </si>
  <si>
    <t>•    The historical experience is fully credible.</t>
  </si>
  <si>
    <t>Prem is trended from avg ED of 7/1/201x to future avg ED of 7/1/2019</t>
  </si>
  <si>
    <t>Ind Rate Chg</t>
  </si>
  <si>
    <t>(66.3%*(1+4%)+6%)/(1-20%-Q)-1=7%</t>
  </si>
  <si>
    <t>Calculate the ultimate loss &amp; ALAE for each accident year using the paid Bornhuetter-Ferguson technique.</t>
  </si>
  <si>
    <t xml:space="preserve">Determine the profit and contingencies provision used to calculate the indicated rate change </t>
  </si>
  <si>
    <t>Numerator</t>
  </si>
  <si>
    <t>for policies effective July 1, 2018 using the ultimate loss &amp; ALAE calculated in part a. above.</t>
  </si>
  <si>
    <t>Denominator</t>
  </si>
  <si>
    <t>Profit and Contingencies Provision</t>
  </si>
  <si>
    <t>Ult loss BF</t>
  </si>
  <si>
    <t>=</t>
  </si>
  <si>
    <t>Actual paid + ECR * EP * % unpaid</t>
  </si>
  <si>
    <t>Cum paid loss ALAE triangle</t>
  </si>
  <si>
    <t>LDF</t>
  </si>
  <si>
    <t>Age-to-age</t>
  </si>
  <si>
    <t>Age-to-ult</t>
  </si>
  <si>
    <t>Calculate ultimate BF loss and ALAE</t>
  </si>
  <si>
    <t>Paid loss to date</t>
  </si>
  <si>
    <t>% unpaid</t>
  </si>
  <si>
    <t>ECR</t>
  </si>
  <si>
    <t>BF ult loss and ALAE</t>
  </si>
  <si>
    <t>1. Determine onlvl factors for each AY (parallelogram drawn on scratch page)</t>
  </si>
  <si>
    <t>AY 2015 onlvl factor</t>
  </si>
  <si>
    <t>AY 2016</t>
  </si>
  <si>
    <t>Zone</t>
  </si>
  <si>
    <t>RL</t>
  </si>
  <si>
    <t>Area</t>
  </si>
  <si>
    <t>Current RL</t>
  </si>
  <si>
    <t>AY 2016 onlvl factor</t>
  </si>
  <si>
    <t>AY 2017</t>
  </si>
  <si>
    <t>AY 2017 onlvl factor</t>
  </si>
  <si>
    <t>2. Onlvl and trend prem and trend ult losses</t>
  </si>
  <si>
    <t>BF ult loss ALAE</t>
  </si>
  <si>
    <t>EP onlvl factor</t>
  </si>
  <si>
    <t>Trend period</t>
  </si>
  <si>
    <t>Prem trend factor</t>
  </si>
  <si>
    <t>Loss trend factor</t>
  </si>
  <si>
    <t>Onlvl trended EP</t>
  </si>
  <si>
    <t>Ultimate trended BF loss ALAE</t>
  </si>
  <si>
    <t>Ultimate trended BF loss and LAE</t>
  </si>
  <si>
    <t>Rate chg date</t>
  </si>
  <si>
    <t>Length</t>
  </si>
  <si>
    <t>yr</t>
  </si>
  <si>
    <t>Premium and loss trend period</t>
  </si>
  <si>
    <t>Start</t>
  </si>
  <si>
    <t>Jul 1 each year</t>
  </si>
  <si>
    <t>Average earned date in each AY (or avg accident date in AY for loss trend)</t>
  </si>
  <si>
    <t>End</t>
  </si>
  <si>
    <t>Mid point between 2018/07/01 and 2020/07/01</t>
  </si>
  <si>
    <t>Loss and LAE ratio</t>
  </si>
  <si>
    <t>Justification</t>
  </si>
  <si>
    <t>I use a weighted average of the 3 years to accord less weight to the 2016 LR, which is low compared to the 2015 and 2017 LR.</t>
  </si>
  <si>
    <t>Ind rate chg</t>
  </si>
  <si>
    <t>(Loss and LAE ratio + fixed exp ratio)/(1 - V - Q) - 1</t>
  </si>
  <si>
    <t>1.07 * (1 - 0.2 - Q)</t>
  </si>
  <si>
    <t>1 - 0.2 - Q</t>
  </si>
  <si>
    <t>Q</t>
  </si>
  <si>
    <t>Answer</t>
  </si>
  <si>
    <t>Profit and contigency provision used is 10.74%.</t>
  </si>
  <si>
    <t>CY</t>
  </si>
  <si>
    <t>Prem Trd</t>
  </si>
  <si>
    <t>OL Trd EP</t>
  </si>
  <si>
    <t>Wtd</t>
  </si>
  <si>
    <t>Rate Lvl</t>
  </si>
  <si>
    <t>Selected</t>
  </si>
  <si>
    <t>Paid L&amp;ALAE</t>
  </si>
  <si>
    <t>Loss Trd</t>
  </si>
  <si>
    <t>ELR @ Individual AY Lvl</t>
  </si>
  <si>
    <t>Ult L&amp;ALAE</t>
  </si>
  <si>
    <t>Assume ELR is developed using On-level premium, and thus is @ current rate level.</t>
  </si>
  <si>
    <t>An insurance company has determined that average commute time to work is a predictive</t>
  </si>
  <si>
    <t>rating variable in their risk classification system for personal automobile coverage, based on statistical criteria.</t>
  </si>
  <si>
    <t xml:space="preserve">Evaluate whether this variable should be included in rating based on four other criteria for evaluating </t>
  </si>
  <si>
    <t>rating variables.</t>
  </si>
  <si>
    <t>Causality: this variable fits the causality criterion since it makes sense that a higher average commute time would indicate higher risk for an accident.</t>
  </si>
  <si>
    <t>Privacy: This variable probably fits this criterion as most customers would not view average commute time to work as particularly sensitive information.</t>
  </si>
  <si>
    <t>Verifiable: This variable may not fit this criterion unless a tracking device is installed in the car to measure commute time. However, even with the device, it may be difficult to verify that a particular trip is indeed a commute to work.</t>
  </si>
  <si>
    <t>Controllable: This variable does not fit this criterion as drivers do not have control over traffic or road work which would effect commute time. Simply moving to an job with a shorter commute might not be feasible for most customers.</t>
  </si>
  <si>
    <t>Privacy - average commute time to work probably does not infringe on peoples privacy, so there is no issue here</t>
  </si>
  <si>
    <t>Verifiable - the average commute time to work is not verifaible since it would likely have to be self reported.  In turn, the data would likely be biased low since the insured probably knows they will be charged less for a shorter drive to work</t>
  </si>
  <si>
    <t>Inexpensive - the average commute time to work might be inexpensive to get and store (could vary by insurer) but would definitely be expensive if there is technology used to calculate the average commute time (telematics)</t>
  </si>
  <si>
    <t>Causality - as average commute time increases, the chance of getting into an accident increases, so the public can see causality in the rating variable</t>
  </si>
  <si>
    <t>An insurer is revising its class factors as part of their annual commercial general liability filing in a state.</t>
  </si>
  <si>
    <t>The actuary has calculated the indicated rate change for each class using the loss ratio method and the following information as of December 31, 2017:</t>
  </si>
  <si>
    <t>CY 2015-2017</t>
  </si>
  <si>
    <t>Premium at</t>
  </si>
  <si>
    <t>AY 2015-2017</t>
  </si>
  <si>
    <t>Collected</t>
  </si>
  <si>
    <t xml:space="preserve">On-Level </t>
  </si>
  <si>
    <t>Current Rate</t>
  </si>
  <si>
    <t>Reported Loss</t>
  </si>
  <si>
    <t>Indicated</t>
  </si>
  <si>
    <t>Current</t>
  </si>
  <si>
    <t>Indicated Rel</t>
  </si>
  <si>
    <t>Selected Rel</t>
  </si>
  <si>
    <t>Relativity</t>
  </si>
  <si>
    <t xml:space="preserve">Change with </t>
  </si>
  <si>
    <t>Class</t>
  </si>
  <si>
    <t>Premium</t>
  </si>
  <si>
    <t>Factors</t>
  </si>
  <si>
    <t>Level</t>
  </si>
  <si>
    <t>and ALAE</t>
  </si>
  <si>
    <t xml:space="preserve"> and ALAE Ratio</t>
  </si>
  <si>
    <t>@ Base Class</t>
  </si>
  <si>
    <t>Off Balance</t>
  </si>
  <si>
    <t>•    The company rates on class and territory only.</t>
  </si>
  <si>
    <t>•    Class and territory factors have been revised every year.</t>
  </si>
  <si>
    <t>•    The overall rate level is adequate.</t>
  </si>
  <si>
    <t>•    Premium trend is 0%.</t>
  </si>
  <si>
    <t>•    On-level factors reflect the overall historical rate changes for the state.</t>
  </si>
  <si>
    <t xml:space="preserve">Discuss four potential shortcomings in this analysis. </t>
  </si>
  <si>
    <t>1) In the data provided there has been no review of the correlation between territory and class and the Class relativities are being adjusted for the full loss ratio adjustment indicated in the study</t>
  </si>
  <si>
    <t>This correlation could cause inaccuraccy in the indiated relativities for each Class</t>
  </si>
  <si>
    <t>2) The losses being used to do the loss ratio indication are reported losses that have not been developed to ultimate levels or trended.  By not reviewing all lossess at a projected ultimate amount</t>
  </si>
  <si>
    <t>years at earlier maturities will impact the overall loss ratio as they will have less claims reported to date.  Not including a loss trend will not allow them to review the data on the same current level.</t>
  </si>
  <si>
    <t>3)  Premium used for the study is collected premium which isnt a standard measure of premium.  Generally they should be using on-level Earned Premium to account for the actual exposure</t>
  </si>
  <si>
    <t>earned for each CY as there may be large portions of premium that have been collectedbut not yet earned that are included.  Also collected premium implies that it is premium they have</t>
  </si>
  <si>
    <t>received from the insured which may not even be the full written premium amount to this point making it very difficult to actually match with the correct losses.</t>
  </si>
  <si>
    <t>4)  For the final relativity changes there was no mention of credibility for each class or even a complement considered for credibility purposes.  Without applying a credibility standard</t>
  </si>
  <si>
    <t>there is a good chance they are applying too much of a change to certain classes (such as C) which have the least amount of experience which year over year will cause large</t>
  </si>
  <si>
    <t>fluctuations in rate changes as they are re-filing every year.</t>
  </si>
  <si>
    <t>The Base class has the smallest premium. With the smallest premium, it's more prone to fluction, and this will impact the other classes when they are set relative to the base. With credibility not considered, this may be an issue.</t>
  </si>
  <si>
    <t>Losses are uncapped, so a single large loss may disrupt the entire analysis. For instance, if 500k of class B losses came from a catastrophic weather loss, it may not be likely to be repeated but is fully included in the relativities.</t>
  </si>
  <si>
    <t>Classes are examined without respect to the territories. We may be double counting with factors depending on how the classes are distributed across differently rated territories.</t>
  </si>
  <si>
    <t>On level factors aren't detailed enough, using overall state factors, rather than class/territory related On-Levling. Previously, classes likely changed by vastly different amounts and these changes aren't accounted for in the prospective loss ratio.</t>
  </si>
  <si>
    <t>There is no indication that the data for the classes is credible. I would create a credibility-weighted indicated relativity change to account for any classes where the data is not fully credible</t>
  </si>
  <si>
    <t>The same On-level factors are used for all classes. In classification ratemaking, historical rate changes may affect classes differently so it may be innapropriate to apply an overall on-level factor. On-level premium by class instead</t>
  </si>
  <si>
    <t>I would make sense to trend losses to the average earned date of the target effective period that the rates will go into effect before calculating the indicated loss ratios. This would really only have material impact if the loss trends were different for each class</t>
  </si>
  <si>
    <t>I would develop losses to ultimate. Different classess may have different development patterns and it makes sense to develop them in order to compare the loss ratios on an apples to apples basis</t>
  </si>
  <si>
    <t>The actuary is using univariate methods to select relativities for its two rativng variables, but there may be significan distributional bias and/or correlation between these variables, so the actuary may be double counting the effect of these rating variables in their selection.</t>
  </si>
  <si>
    <t>The actuary did not develop their loss, and are using reported losses instead. Some classes may develop differently than others, so comparing their reported loss ratios would not be an appropriate way to compare their loss experience.</t>
  </si>
  <si>
    <t>The losses were not trended, which may skew the weights of the loss effects for less recent years (ie the loss amounts of 2015 may be understated since we want them at current level)</t>
  </si>
  <si>
    <t>The actuary selected a relativity of 2 for Class B, but the indicated relativity was much higher, at 4.4. The rates for class B may be inadequate,</t>
  </si>
  <si>
    <t xml:space="preserve">1. It maybe a good idea to do large loss adjustment on the reported loss &amp; ALAE to avoid any impact from large shock loss from a certain year on a certain class </t>
  </si>
  <si>
    <t>2. It maybe a good idea develop the loss &amp; ALAE to Ultimate first, given this is a general liability coverage that can be long-tailed. This limits over/under-estimating the indicated change of a certain class due to the difference in development.</t>
  </si>
  <si>
    <t>3. It maybe a good idea to use industry benchmark(or no change from current) as the complement  of credibility and come up with a credibility weighted relativity</t>
  </si>
  <si>
    <t>4. I would replace the on-level factors to be class specific rather than overall historcial rate changes for the state.</t>
  </si>
  <si>
    <t>Given the following exposures and losses for states A, B and C:</t>
  </si>
  <si>
    <t>State</t>
  </si>
  <si>
    <t>Exposure</t>
  </si>
  <si>
    <t xml:space="preserve">Losses </t>
  </si>
  <si>
    <t>Pure Premium</t>
  </si>
  <si>
    <t>Subtotal</t>
  </si>
  <si>
    <t>All</t>
  </si>
  <si>
    <t>Calculate the complement of credibility for state A, class 1 using Harwayne's method.</t>
  </si>
  <si>
    <t>b.  </t>
  </si>
  <si>
    <t>Evaluate an alternative complement of credibility for this company.</t>
  </si>
  <si>
    <t>State B Harwayne's Total</t>
  </si>
  <si>
    <t>State B Class 1 Class A Complement</t>
  </si>
  <si>
    <t>State C Harwayne's Total</t>
  </si>
  <si>
    <t>State C Class 1 Class A Complement</t>
  </si>
  <si>
    <t>Complement of Credibility for State A =</t>
  </si>
  <si>
    <t>Another complement of credibility you could use is the total pure premium for all states in class one. This would likely contain bias and be inaccurate due to the variance between states, but it is an alternative complement.</t>
  </si>
  <si>
    <t>I'd recommend Harwayne's Complement over the complement suggested above because it is accurate, and typically unbiased, even though it is sometimes difficult to explain</t>
  </si>
  <si>
    <t>State A average PP =</t>
  </si>
  <si>
    <t>State B average PP =</t>
  </si>
  <si>
    <t>Adj. Factor =</t>
  </si>
  <si>
    <t>Staet C average PP =</t>
  </si>
  <si>
    <t>Adj. B1 PP =</t>
  </si>
  <si>
    <t>Adj. C1 PP =</t>
  </si>
  <si>
    <t>Complement =</t>
  </si>
  <si>
    <t>An alternative would be to use the overall data of class 1 Pure Premium, which is equal to 41.33</t>
  </si>
  <si>
    <t>Advantages:</t>
  </si>
  <si>
    <t>1) relatively accurate because there are more data points than just state A.</t>
  </si>
  <si>
    <t>2) has a logical relationship with the state A data.</t>
  </si>
  <si>
    <t>3) data is readily available</t>
  </si>
  <si>
    <t>4) obviously easy to compute.</t>
  </si>
  <si>
    <t>Disadvantages:</t>
  </si>
  <si>
    <t>1) Not independent with the subject experience (state A) because it includes the information of state A.</t>
  </si>
  <si>
    <t>2) Might be biased (always higher than the pure premium of state A)</t>
  </si>
  <si>
    <t>Given the following censored loss data:</t>
  </si>
  <si>
    <t>ILF ($100,000)</t>
  </si>
  <si>
    <t>Policy Limit $100,000</t>
  </si>
  <si>
    <t>Policy Limit $250,000</t>
  </si>
  <si>
    <t>Size of Loss</t>
  </si>
  <si>
    <t>Claims</t>
  </si>
  <si>
    <t>Losses ($000s)</t>
  </si>
  <si>
    <t>LAS($50,000)</t>
  </si>
  <si>
    <t>X &lt;= $50,000</t>
  </si>
  <si>
    <t>LAS($100,000)</t>
  </si>
  <si>
    <t>$50,000 &lt; X &lt;= $100,000</t>
  </si>
  <si>
    <t>$100,000 &lt; X &lt;= $250,000</t>
  </si>
  <si>
    <t>LAS($50,000 xs $50,000)</t>
  </si>
  <si>
    <t>Pr(x&gt;$50,000)</t>
  </si>
  <si>
    <t>Basic Limit</t>
  </si>
  <si>
    <t>ILF($250,000)</t>
  </si>
  <si>
    <t>Calculate the increased limits factor for a limit of $100,000.</t>
  </si>
  <si>
    <t>LAS($150,000 xs $100,000)</t>
  </si>
  <si>
    <t>Pr(x&gt;$100,000)</t>
  </si>
  <si>
    <t>Calculate the increased limits factor for a limit of $250,000.</t>
  </si>
  <si>
    <t>LAS($250,000)</t>
  </si>
  <si>
    <t>Given the following information:</t>
  </si>
  <si>
    <t>Accident Year / Calendar Year</t>
  </si>
  <si>
    <t>Written Premiums ($000s)</t>
  </si>
  <si>
    <t>Earned Premiums ($000s)</t>
  </si>
  <si>
    <t>Projected Ultimate Claims ($000s)</t>
  </si>
  <si>
    <t>General Expenses ($000s)</t>
  </si>
  <si>
    <t>Commission, Brokerage, and Other Acquisition Expenses ($000s)</t>
  </si>
  <si>
    <t>Taxes, Licenses, and Fees ($000s)</t>
  </si>
  <si>
    <t>V: General expense</t>
  </si>
  <si>
    <t>V : commission…</t>
  </si>
  <si>
    <t>V: taxes…</t>
  </si>
  <si>
    <t>Territory</t>
  </si>
  <si>
    <t>In-force Premium ($000s)</t>
  </si>
  <si>
    <t>Current Relativity</t>
  </si>
  <si>
    <t>Claim Count</t>
  </si>
  <si>
    <t>I will select the latest expense ratios because they are decreasing over the years. I assume receny expenses have been reduced</t>
  </si>
  <si>
    <t>Permissible LR</t>
  </si>
  <si>
    <t>1-V-Q</t>
  </si>
  <si>
    <t>Exposures required for full credibility standard</t>
  </si>
  <si>
    <t>no pattern for LR, pick weighted avg</t>
  </si>
  <si>
    <t>Expected frequency per exposure</t>
  </si>
  <si>
    <t>Target underwriting profit provision</t>
  </si>
  <si>
    <t>indicatedrate change=</t>
  </si>
  <si>
    <t>One time commission included in 2014 expense data ($000)</t>
  </si>
  <si>
    <t>•    All expenses are variable.</t>
  </si>
  <si>
    <t>estimated expos</t>
  </si>
  <si>
    <t>Z</t>
  </si>
  <si>
    <t>•    There have been no rate changes in the past 5 years.</t>
  </si>
  <si>
    <t>•    There are no premium or expense trends.</t>
  </si>
  <si>
    <t>•    Territory A remains the base territory.</t>
  </si>
  <si>
    <t>Assuming complement is no change</t>
  </si>
  <si>
    <t>Calculate the permissible loss ratio. Briefly justify the selected expense ratio.</t>
  </si>
  <si>
    <t>weighted LR=</t>
  </si>
  <si>
    <t>normalized current relativity</t>
  </si>
  <si>
    <t>indicated relativity</t>
  </si>
  <si>
    <t>normalized indicated relativity</t>
  </si>
  <si>
    <t>to base</t>
  </si>
  <si>
    <t>Calculate the indicated overall rate change.</t>
  </si>
  <si>
    <t>Calculate the credibility factor for each territory using the classical credibility approach.</t>
  </si>
  <si>
    <t>Calculate the indicated change to the base territory after revising the territory relativities and overall rate level.</t>
  </si>
  <si>
    <t>inidcated change to base=</t>
  </si>
  <si>
    <t>Given the following:</t>
  </si>
  <si>
    <t>Property value</t>
  </si>
  <si>
    <t>Insured value</t>
  </si>
  <si>
    <t>Coinsurance requirement</t>
  </si>
  <si>
    <t>a:</t>
  </si>
  <si>
    <t>When Loss is 350000, that's where the x is</t>
  </si>
  <si>
    <t>Panelty</t>
  </si>
  <si>
    <t>b:</t>
  </si>
  <si>
    <t>The loss amount at point Y is coinsurance requirement value:</t>
  </si>
  <si>
    <t>c:</t>
  </si>
  <si>
    <t>The consequency for loss greater than Y would be no penalty</t>
  </si>
  <si>
    <t>But the reimbursement payment will be capped at 350000, the remaining loss will not be covered.</t>
  </si>
  <si>
    <t>Calculate the loss amount and coinsurance penalty at point X on the coinsurance penalty chart.</t>
  </si>
  <si>
    <t>Calculate the loss amount at point Y on the coinsurance penalty chart.</t>
  </si>
  <si>
    <t>Describe the consequence for an insured at loss amounts greater than Y.</t>
  </si>
  <si>
    <t>a)</t>
  </si>
  <si>
    <t>apportion ratio</t>
  </si>
  <si>
    <t>b)</t>
  </si>
  <si>
    <t>Penalty zeroes out at the coinsurance requirement. In this example it is 400K</t>
  </si>
  <si>
    <t>Max penalty is at a loss of the insured value</t>
  </si>
  <si>
    <t>Loss</t>
  </si>
  <si>
    <t>Loss Payment</t>
  </si>
  <si>
    <t>Penalty</t>
  </si>
  <si>
    <t>c)</t>
  </si>
  <si>
    <t>They are underinsured. At loss amounts greater than Y the insurer stops covering the portion of losses above the insured value. In essence the insured is on the hook for the portion of loss greater than Y that is above their insured value.</t>
  </si>
  <si>
    <t>Projected Fixed Expenses ($000)</t>
  </si>
  <si>
    <t>Projected Losses ($000)</t>
  </si>
  <si>
    <t>Projected LAE ($000)</t>
  </si>
  <si>
    <t>Projected Exposures (000)</t>
  </si>
  <si>
    <t>Expected Exposures per Policy</t>
  </si>
  <si>
    <t>Variable Expense Ratio</t>
  </si>
  <si>
    <t>Target Underwriting Profit %</t>
  </si>
  <si>
    <t>•    The company charges a fixed expense fee per policy written.</t>
  </si>
  <si>
    <t>Calculate the indicated premium for a policy with four exposures.</t>
  </si>
  <si>
    <t>Describe a scenario where the company would prefer the pure premium</t>
  </si>
  <si>
    <t>method to the loss ratio method.</t>
  </si>
  <si>
    <t>Fixed expense per policy =</t>
  </si>
  <si>
    <t>Permissiable loss ratio =</t>
  </si>
  <si>
    <t>Pure Premium =</t>
  </si>
  <si>
    <t>Premium for Policy with 4 exposures =</t>
  </si>
  <si>
    <t>When the historical rate change information can not be obtained, pure premium method would be preferable.</t>
  </si>
  <si>
    <t>Since loss ratio method needs on level premium .</t>
  </si>
  <si>
    <t>Fixed expense per policy ($000s)</t>
  </si>
  <si>
    <t>Losses and LAE  per exposure ($000s)</t>
  </si>
  <si>
    <t>Indicated Premium ($000s)</t>
  </si>
  <si>
    <t>If the company has no rate change data available and thus cannot on-level premiums, then it would be loss ratios at current levels could not be calculated for the loss ratio method</t>
  </si>
  <si>
    <t>Company A and Company B have recently merged.</t>
  </si>
  <si>
    <t>Before the merger:</t>
  </si>
  <si>
    <t>•    Both companies are monoline homeowners' insurance carriers.</t>
  </si>
  <si>
    <t>•    Both companies use the reported claim development technique to estimate ultimate claims.</t>
  </si>
  <si>
    <t>After the merger:</t>
  </si>
  <si>
    <t>•    The actuary performing the reserve review has combined the claims data for the two companies.</t>
  </si>
  <si>
    <t>•    The actuary is estimating ultimate claims using the reported claim development technique.</t>
  </si>
  <si>
    <t>Briefly describe two arguments for approach taken after the merger.</t>
  </si>
  <si>
    <t>Briefly describe two potential deficiencies of the approach taken after the merger.</t>
  </si>
  <si>
    <t>Combining the two data sets will produce more credible results if data for a single company was limited/thin</t>
  </si>
  <si>
    <t>Combining the two data sets will produce more stable development factors and results if data was volatile or there were large losses for one of the companies</t>
  </si>
  <si>
    <t>Case reserve adequacy may have been different for the companies prior to merger . Depending on reserving practices after merger, the combined development may not be accurate</t>
  </si>
  <si>
    <t>Business mix could vary between the companies. Combining the two portfolios could produce skewed results if the portfolios had very different expected losses.</t>
  </si>
  <si>
    <t>Since both companies insure homeowner's only, the coverages would be more or less similar and the result would be even more credible.</t>
  </si>
  <si>
    <t>Since home owner insurnace are typically Short tailed, using a reported technique which works with high frequency and low severity claims would be good.</t>
  </si>
  <si>
    <t>If the companies have different case reserving practice and settlement practice, care should be taken before combining the data. Else the Ultimates would be incorrect</t>
  </si>
  <si>
    <t>if the company has operated in different states and the characteristics of the claims are different due to limits, regulations, the data shouldn't be combined.</t>
  </si>
  <si>
    <t>Cumulative Paid Claims</t>
  </si>
  <si>
    <t>Claim</t>
  </si>
  <si>
    <t>Report Date</t>
  </si>
  <si>
    <t>Evaluation Date</t>
  </si>
  <si>
    <t xml:space="preserve">Outstanding </t>
  </si>
  <si>
    <t>Cumulative</t>
  </si>
  <si>
    <t>Case Reserve</t>
  </si>
  <si>
    <t>Paid Claims</t>
  </si>
  <si>
    <t>Cumulative Reported Claims</t>
  </si>
  <si>
    <t>Reported LDF</t>
  </si>
  <si>
    <t>36-ult</t>
  </si>
  <si>
    <t>I'll select the weighted average LDF</t>
  </si>
  <si>
    <t>selected</t>
  </si>
  <si>
    <t>36-to-ultimate reported claim development factor</t>
  </si>
  <si>
    <t>AY 2017 ultimate loss =</t>
  </si>
  <si>
    <t>Construct the annual paid claim development triangle for accident years 2015 through 2017.</t>
  </si>
  <si>
    <t>Construct the annual reported claim development triangle for accident years 2015 through 2017.</t>
  </si>
  <si>
    <t>Estimate ultimate claims for accident year 2017 using the reported claim development technique.</t>
  </si>
  <si>
    <t>Paid claim triangle</t>
  </si>
  <si>
    <t>Age</t>
  </si>
  <si>
    <t>Reported claim triangle</t>
  </si>
  <si>
    <t>Average:</t>
  </si>
  <si>
    <t>Age to ult:</t>
  </si>
  <si>
    <t>Since we have limited data, I will select a straight average despite the volatility.</t>
  </si>
  <si>
    <t>AY 2017 ult claims:</t>
  </si>
  <si>
    <t>Reported Claims ($000) as of (months)</t>
  </si>
  <si>
    <t>•    There is only one large loss in the historical data, which occurred in 2017 and was</t>
  </si>
  <si>
    <t xml:space="preserve">      reported in the first 12 months.</t>
  </si>
  <si>
    <t>•    There is no development beyond 60 months.</t>
  </si>
  <si>
    <t>Calculate the IBNR for each accident year using the reported claim development technique.</t>
  </si>
  <si>
    <t>Explain whether the technique used in part a. above is appropriate to estimate IBNR for</t>
  </si>
  <si>
    <t>accident year 2017 for this company.</t>
  </si>
  <si>
    <t>Briefly describe a situation where the claims development techniques work well for projecting</t>
  </si>
  <si>
    <t>ultimate claims.</t>
  </si>
  <si>
    <t>Age to Age</t>
  </si>
  <si>
    <t>12-24m</t>
  </si>
  <si>
    <t>24-36m</t>
  </si>
  <si>
    <t>35-48m</t>
  </si>
  <si>
    <t>48-60m</t>
  </si>
  <si>
    <t>Select Average:</t>
  </si>
  <si>
    <t>12-ult</t>
  </si>
  <si>
    <t>24-ult</t>
  </si>
  <si>
    <t>48-ult</t>
  </si>
  <si>
    <t>latest diagonal</t>
  </si>
  <si>
    <t>Ultimate Claims</t>
  </si>
  <si>
    <t>IBNR</t>
  </si>
  <si>
    <t>This method is not appropriate for estimating AY 2017 since there is a large loss in 2017 and the historical LDFs derived from AY 2013-2016 did not have this large loss in the 12m maturity column.</t>
  </si>
  <si>
    <t>Applying the historical reported chain ladder LDFs to AY 2017 overstates the IBNR for that accident year.</t>
  </si>
  <si>
    <t>c.)</t>
  </si>
  <si>
    <t>The reported chain ladder technique works well when there is stability in the case reserving and claims processing.</t>
  </si>
  <si>
    <t>An insurer has the following data evaluated as of December 31, 2017:</t>
  </si>
  <si>
    <t>Cumulative Closed Claim Counts as of (months)</t>
  </si>
  <si>
    <t>Incremental Paid Severities as of (months)</t>
  </si>
  <si>
    <t>Ultimate</t>
  </si>
  <si>
    <t>Claim Counts</t>
  </si>
  <si>
    <t>Claim severity trend</t>
  </si>
  <si>
    <t>•    There are no partial payments.</t>
  </si>
  <si>
    <t>•    There is no development beyond 48 months.</t>
  </si>
  <si>
    <t>Estimate unpaid claims for accident year 2017 using a frequency-severity technique.</t>
  </si>
  <si>
    <t>Selected Disposal rate</t>
  </si>
  <si>
    <t>Trend incremental claims</t>
  </si>
  <si>
    <t>estimate Count</t>
  </si>
  <si>
    <t>Estimate claims</t>
  </si>
  <si>
    <t>2017 unpaid claims</t>
  </si>
  <si>
    <t>Disposal Rates</t>
  </si>
  <si>
    <t>-&gt; increasing trend down columns. Select avg of last 3</t>
  </si>
  <si>
    <t>Sel</t>
  </si>
  <si>
    <t>Adjusted Incr Closed Claims</t>
  </si>
  <si>
    <t>0-12</t>
  </si>
  <si>
    <t>36-48</t>
  </si>
  <si>
    <t>48-Ult</t>
  </si>
  <si>
    <t>Trended Incr Paid Severities</t>
  </si>
  <si>
    <t>Sel= stg avg</t>
  </si>
  <si>
    <t>Projected Incr Paid Claims</t>
  </si>
  <si>
    <t>Unpaid Caims</t>
  </si>
  <si>
    <t>total incremental paid</t>
  </si>
  <si>
    <t>cumulative paid</t>
  </si>
  <si>
    <t>severity</t>
  </si>
  <si>
    <t>LDFs</t>
  </si>
  <si>
    <t>ay</t>
  </si>
  <si>
    <t>sel</t>
  </si>
  <si>
    <t>cdf</t>
  </si>
  <si>
    <t>ult sev</t>
  </si>
  <si>
    <t>ult claims AY 2017</t>
  </si>
  <si>
    <t>UNPAID</t>
  </si>
  <si>
    <t>rptd dev factors</t>
  </si>
  <si>
    <t>Cumulative Reported Claims ($) as of (months)</t>
  </si>
  <si>
    <t>On-Level Earned Premium</t>
  </si>
  <si>
    <t>% Rptd</t>
  </si>
  <si>
    <t>rptd loss</t>
  </si>
  <si>
    <t>48-to-ultimate reported development factor</t>
  </si>
  <si>
    <t xml:space="preserve">ECR = </t>
  </si>
  <si>
    <t xml:space="preserve">Calculate IBNR for accident year 2017 using the Cape Cod technique. </t>
  </si>
  <si>
    <t xml:space="preserve">AY 2017 IBNR = </t>
  </si>
  <si>
    <t>ELR</t>
  </si>
  <si>
    <t>Calendar</t>
  </si>
  <si>
    <t>Incremental</t>
  </si>
  <si>
    <t>Reported Claims</t>
  </si>
  <si>
    <t>48-to-ultimate development factor</t>
  </si>
  <si>
    <t>Calculate the company's accident year 2017 ultimate claims using</t>
  </si>
  <si>
    <t>the reported claim development technique.</t>
  </si>
  <si>
    <t>Describe how the estimate calculated in part a. may be distorted</t>
  </si>
  <si>
    <t>if the average policy effective date changed from July 1 to April 1</t>
  </si>
  <si>
    <t>in 2017.</t>
  </si>
  <si>
    <t>Briefly describe an adjustment to the reported claim development</t>
  </si>
  <si>
    <t>technique that could improve the estimate in part a. above after</t>
  </si>
  <si>
    <t>the change in average effecctive date described in part b. above</t>
  </si>
  <si>
    <t>as of month</t>
  </si>
  <si>
    <t>Reported claims age to age</t>
  </si>
  <si>
    <t>LDF selections</t>
  </si>
  <si>
    <t>selecting straight averages of all years as assumign differneces are due to random volatility</t>
  </si>
  <si>
    <t>AY 2017 Ult claims</t>
  </si>
  <si>
    <t>If the average policy effective date moves from July 1 to April 1 in 2017, there will be more claims reported in the first 12 months of 2017 than there have been in past years.</t>
  </si>
  <si>
    <t>Multiplying historical CDFs will overestimate the true 2017 ultimate claim estimate since historical CDFs assume less reported in the first 12 months</t>
  </si>
  <si>
    <t>Instead of annual triangles, construct data off quarterly or monthly data to account for the earlier policy effective date</t>
  </si>
  <si>
    <t>Given the following information for the company:</t>
  </si>
  <si>
    <t>Ratio of Closed Counts to Reported Counts</t>
  </si>
  <si>
    <t>Cumulative Paid Loss + ALAE ($000) as of (months)</t>
  </si>
  <si>
    <t>Cumulative Reported Loss + ALAE ($000) as of (months)</t>
  </si>
  <si>
    <t>Ratio of Paid to Reported $</t>
  </si>
  <si>
    <t>Cumulative Reported Claim Counts as of (months)</t>
  </si>
  <si>
    <t>Avg Case O/S</t>
  </si>
  <si>
    <t>Discuss the appropriateness of the following techniques for estimating ultimate claims for accident year 2017:</t>
  </si>
  <si>
    <t>i. Reported development technique.</t>
  </si>
  <si>
    <t>ii. Paid development technique.</t>
  </si>
  <si>
    <t>Identify two questions to ask the claims department to better understand any operational changes based on the data above.</t>
  </si>
  <si>
    <t>Paid Severity</t>
  </si>
  <si>
    <t>i. Rep'd dev tech</t>
  </si>
  <si>
    <t>There is a decrease in the ratio of paid to reported loss &amp; ALAE along latest diagonal (CY 17), which could indicate an increase in case reserve adequacy.</t>
  </si>
  <si>
    <t xml:space="preserve"> Looking at average case o/s, it does appear that there has been a significant increase in average case o/s along latest diagonal (does not appear to be due to severity trend looking at paid severity triangle)</t>
  </si>
  <si>
    <t xml:space="preserve"> If due to increase in case adequacy, method is not appropriate as it violates assumption of stable case o/s in hist'l period and will result in overstated ultimate claims.</t>
  </si>
  <si>
    <t>ii. Paid dev tech</t>
  </si>
  <si>
    <t>The ratio of closed claim counts to reported claim counts is increasing along the latest diagonal (CY 17), which could indicate an increase in the settlement rate of claims.</t>
  </si>
  <si>
    <t xml:space="preserve">Paid dev tech requires stable rate of settlement in hist'l period, so method is not appropriate. </t>
  </si>
  <si>
    <t>Will overstate ultimate claims</t>
  </si>
  <si>
    <t>Has there been any changes in claims handling philosophy over the historical period? I.e., changes in case reserve adequacy, settlement rates, prioritization of large vs small claims</t>
  </si>
  <si>
    <t>Has there been social or legal environment changes that would impact the size and reserves set for claims over historical period?</t>
  </si>
  <si>
    <t>i.</t>
  </si>
  <si>
    <t>reported severity</t>
  </si>
  <si>
    <t>reported to paid</t>
  </si>
  <si>
    <t>accident year</t>
  </si>
  <si>
    <t>Reported severity has been increasing recently in early development which apears to be due to a recent change in case reserves.</t>
  </si>
  <si>
    <t>These changes would likely distort the estimate for 2017 ultimate losses based on the reported loss development technique.</t>
  </si>
  <si>
    <t>ii.</t>
  </si>
  <si>
    <t>paid to closed</t>
  </si>
  <si>
    <t>closed to reported</t>
  </si>
  <si>
    <t>The closure rate has increased recently though the paid to closed has not changed significantly. This could be due to smaller losses being closed at a faster rate instead of larger losses.</t>
  </si>
  <si>
    <t>This would lead to a distortion in the paid development technique by underestimating because a higher percentage of larger claims remain to be reported.</t>
  </si>
  <si>
    <t>Has there been a change in case reserving practices?</t>
  </si>
  <si>
    <t>Has there been a change in claim closing practices?</t>
  </si>
  <si>
    <t>Assume ultimate claims are based on cumulative closed claim counts</t>
  </si>
  <si>
    <t>Implied 48-ult tail</t>
  </si>
  <si>
    <t>This means there is no development in counts after 48 months.</t>
  </si>
  <si>
    <t>Closed Count</t>
  </si>
  <si>
    <t>Ult</t>
  </si>
  <si>
    <t>Cumulative Paid Claims ($) as of (months)</t>
  </si>
  <si>
    <t>Select the latest diagonal to reflect future claims</t>
  </si>
  <si>
    <t>Parameter a for Two-Point Exponential Fit</t>
  </si>
  <si>
    <t>Adj Closed Claims</t>
  </si>
  <si>
    <t>Parameter b for Two-Point Exponential Fit</t>
  </si>
  <si>
    <t>Adjusted Paid</t>
  </si>
  <si>
    <t>The latest diagonal doesn't change</t>
  </si>
  <si>
    <t>Accident year 2014 ultimate claims</t>
  </si>
  <si>
    <t>Select the a and b factors based on disposal rates.</t>
  </si>
  <si>
    <t>The disposal rate with the same as selectet doesn't change.</t>
  </si>
  <si>
    <t xml:space="preserve">•    The relationship between the adjusted cumulative closed claims ("X") and </t>
  </si>
  <si>
    <t xml:space="preserve">      the adjusted cumulative paid claims ("Y") is: Y = a*e^(bX)</t>
  </si>
  <si>
    <t xml:space="preserve">Calculate the ultimate claims estimate for accident year 2017 using a </t>
  </si>
  <si>
    <t>Berquist-Sherman technique, where paid claims are adjusted using a two-point</t>
  </si>
  <si>
    <t>Adjusted LDF</t>
  </si>
  <si>
    <t>exponential fit.</t>
  </si>
  <si>
    <t>Avg</t>
  </si>
  <si>
    <t>Again assume no development after 48 months from given ultimate.</t>
  </si>
  <si>
    <t>AY 2017 Ult</t>
  </si>
  <si>
    <t>Given the following information as of December 31, 2017:</t>
  </si>
  <si>
    <t>Cumulative Paid Claims Gross of Salvage and</t>
  </si>
  <si>
    <t>Subrogation ($000) as of (months)</t>
  </si>
  <si>
    <t>Cumulative Received Salvage and Subrogation</t>
  </si>
  <si>
    <t>AY 2017 S&amp;S recoverable</t>
  </si>
  <si>
    <t xml:space="preserve"> ($000) as of (months)</t>
  </si>
  <si>
    <t>Ultimate claims gross of salvage and subrogation for accident year 2017</t>
  </si>
  <si>
    <t>•    A simple all-year average is used for all development factors.</t>
  </si>
  <si>
    <t>Estimate the salvage and subrogation recoverable for accident year 2017 using the development</t>
  </si>
  <si>
    <t>technique.</t>
  </si>
  <si>
    <t>AY 2017 recoverable</t>
  </si>
  <si>
    <t>Estimate the salvage and subrogation recoverable for accident year 2017 using a ratio approach.</t>
  </si>
  <si>
    <t xml:space="preserve">It maintains the relationship between recoverable and gross loss which eliminates the volatility issues when using a development technique on the recoverables. </t>
  </si>
  <si>
    <t>Briefly describe a reason why a ratio approach is preferred over the development technique when</t>
  </si>
  <si>
    <t>estimating salvage and subrogation recoverables.</t>
  </si>
  <si>
    <t>Reported</t>
  </si>
  <si>
    <t>Closed</t>
  </si>
  <si>
    <t>Count %</t>
  </si>
  <si>
    <t>Counts</t>
  </si>
  <si>
    <t>of Ultimate</t>
  </si>
  <si>
    <t>Pending Claim Counts as of (months)</t>
  </si>
  <si>
    <t>Average claim staff employee salary during calendar year 2017</t>
  </si>
  <si>
    <t>Annual salary inflation</t>
  </si>
  <si>
    <t>Opened, closed, or pending claim counts processed per employee per year</t>
  </si>
  <si>
    <t>Estimate the unpaid ULAE using the Mango-Allen claim staffing technique.</t>
  </si>
  <si>
    <t>Average Annual salaries</t>
  </si>
  <si>
    <t>Pending Claim Counts</t>
  </si>
  <si>
    <t>Closed Claims</t>
  </si>
  <si>
    <t>Total Opend closed, pending</t>
  </si>
  <si>
    <t>Claims Staff need</t>
  </si>
  <si>
    <t>Unpaid ULAE</t>
  </si>
  <si>
    <t>Incremental Reported Claim Counts</t>
  </si>
  <si>
    <t>Incremental Closed Claim Counts</t>
  </si>
  <si>
    <t>Claims Handled</t>
  </si>
  <si>
    <t xml:space="preserve">Calendar Year </t>
  </si>
  <si>
    <t>Accident Yr</t>
  </si>
  <si>
    <t>Employees</t>
  </si>
  <si>
    <t>Salary</t>
  </si>
  <si>
    <t>Cumulative Paid ALAE age to age</t>
  </si>
  <si>
    <t>48-60</t>
  </si>
  <si>
    <t>60-ult</t>
  </si>
  <si>
    <t>Cumulative Paid ALAE ($) as of (months)</t>
  </si>
  <si>
    <t>Claims ($)</t>
  </si>
  <si>
    <t>the 12-24 age to age factors are not very stable but there is no clear trend so I will use a simple average</t>
  </si>
  <si>
    <t>AY 2017 12 month cdf</t>
  </si>
  <si>
    <t>AY 2017 ultimate ALAE</t>
  </si>
  <si>
    <t>12 month Unpaid factor</t>
  </si>
  <si>
    <t>Expected Ultimate ALAE</t>
  </si>
  <si>
    <t>60-to-ultimate development factor</t>
  </si>
  <si>
    <t>Unpaid ALAE</t>
  </si>
  <si>
    <t>Expected paid ALAE-to-paid claim ratio</t>
  </si>
  <si>
    <t>There was a much higher paid ALAE amount in 2017, which will be highly leverage in the development method, this is why the</t>
  </si>
  <si>
    <t>Estimate accident year 2017 ultimate ALAE using the paid development technique.</t>
  </si>
  <si>
    <t xml:space="preserve">ultimate ALAE estimate in a. is much higher than in b. The BF method will not leverage this increase as much since it also </t>
  </si>
  <si>
    <t>uses an a-priori estimate for unpaid ALAE, while still capturing the increase in what was already paid.</t>
  </si>
  <si>
    <t>I would this suggest using the estimate in part b, AY 2017 ultimate ALAE = $5729</t>
  </si>
  <si>
    <t>Estimate accident year 2017 ultimate ALAE using the Bornhuetter-Ferguson technique.</t>
  </si>
  <si>
    <t>Recommend and briefly justify an estimate of ultimate ALAE from the results of parts a.</t>
  </si>
  <si>
    <t>and b. above.</t>
  </si>
  <si>
    <t>Paid ALAE Dev</t>
  </si>
  <si>
    <t>NA</t>
  </si>
  <si>
    <t>Age-ult</t>
  </si>
  <si>
    <t>2017 Ult ALAE</t>
  </si>
  <si>
    <t>Current Paid</t>
  </si>
  <si>
    <t>ALAE</t>
  </si>
  <si>
    <t>Exp Pd Ratio</t>
  </si>
  <si>
    <t>The 12-ult CDF for 2017 is highly leveraged. We can see also that this will be an issue since there is a large increase in paid ALAE in 2017 @ 12months without a large increase in expected ultimate claims</t>
  </si>
  <si>
    <t xml:space="preserve">I assume this is due to a large claim that has not been paid but has had substantial ALAE. Since I do not expect this situation to occur again, I'll select the B-F ultimate ALAE from (b). This will keep the current </t>
  </si>
  <si>
    <t>ALAE but unpaid ALAE will develop with expected ALAE</t>
  </si>
  <si>
    <t>Given the following data valued as of December 31, 2017:</t>
  </si>
  <si>
    <t>Ultimate Claims Ratio</t>
  </si>
  <si>
    <t>Development</t>
  </si>
  <si>
    <t>Bornhuetter-Ferguson</t>
  </si>
  <si>
    <t>Expected</t>
  </si>
  <si>
    <t>•    The expected technique is derived from industry data.</t>
  </si>
  <si>
    <t>•    There are no large losses observed.</t>
  </si>
  <si>
    <t>Briefly describe two possible changing conditions in the data above.</t>
  </si>
  <si>
    <t>Briefly describe how the two changing conditions described in part a. above affect each of the</t>
  </si>
  <si>
    <t>following techniques:</t>
  </si>
  <si>
    <t>i.    Expected claims</t>
  </si>
  <si>
    <t>ii.    Paid Bornhuetter-Ferguson</t>
  </si>
  <si>
    <t>iii.    Reported Cape Cod</t>
  </si>
  <si>
    <t>iv.    Reported Benktander</t>
  </si>
  <si>
    <t>- deteriorating loss ratio driving increasing ult claims ratios in most recent Ays</t>
  </si>
  <si>
    <t>- it's possible that the increasing rep dev claims ratio is due to a case adequacy increase, leading to higher reported amounts in the most recent diagonal</t>
  </si>
  <si>
    <t>i. Expected Claims</t>
  </si>
  <si>
    <r>
      <t>- unaffected by a deteriorating internal loss ratio, as the expected claims values are based on industry data</t>
    </r>
    <r>
      <rPr>
        <b/>
        <sz val="11"/>
        <color rgb="FF000000"/>
        <rFont val="Arial Rounded MT Bold"/>
        <family val="2"/>
      </rPr>
      <t xml:space="preserve"> (no change)</t>
    </r>
  </si>
  <si>
    <t>- unaffected by an internal case adequacy increase, as the expected claims values are based on industry data (no change)</t>
  </si>
  <si>
    <t>ii. Paid BF</t>
  </si>
  <si>
    <r>
      <t>- deteriorating loss ratio will impact the BF methods</t>
    </r>
    <r>
      <rPr>
        <b/>
        <sz val="11"/>
        <color rgb="FF000000"/>
        <rFont val="Arial Rounded MT Bold"/>
        <family val="2"/>
      </rPr>
      <t xml:space="preserve"> (increasing ultimates)</t>
    </r>
    <r>
      <rPr>
        <sz val="11"/>
        <color rgb="FF000000"/>
        <rFont val="Arial Rounded MT Bold"/>
        <family val="2"/>
      </rPr>
      <t>, but not as much as the dev techniques, since it's a credibility-weighted method between the expected and dev tech methods</t>
    </r>
  </si>
  <si>
    <r>
      <t>- changing case adequacy will not effect the Paid BF technique, as a change to Case adequacy only affects the Reported Dev Tech/BF/etc. methods</t>
    </r>
    <r>
      <rPr>
        <b/>
        <sz val="11"/>
        <color rgb="FF000000"/>
        <rFont val="Arial Rounded MT Bold"/>
        <family val="2"/>
      </rPr>
      <t xml:space="preserve"> (no change)</t>
    </r>
  </si>
  <si>
    <t>iii. Rep Cape Cod</t>
  </si>
  <si>
    <r>
      <t xml:space="preserve">- deteriorating loss ratio will impact the CC ECR (as the CC ECR is impacted by internal data), and will </t>
    </r>
    <r>
      <rPr>
        <b/>
        <sz val="11"/>
        <color rgb="FF000000"/>
        <rFont val="Arial Rounded MT Bold"/>
        <family val="2"/>
      </rPr>
      <t>increase ultimates</t>
    </r>
  </si>
  <si>
    <r>
      <t xml:space="preserve">- an increasing case adequacy will lead to changes in the reported claims, and the % reported. The increasing case adequacy will </t>
    </r>
    <r>
      <rPr>
        <b/>
        <sz val="11"/>
        <color rgb="FF000000"/>
        <rFont val="Arial Rounded MT Bold"/>
        <family val="2"/>
      </rPr>
      <t>increase ultimates</t>
    </r>
  </si>
  <si>
    <t>iv. Rep Benktander</t>
  </si>
  <si>
    <r>
      <t>- deteriorating loss ratio will impact the Benktander methods</t>
    </r>
    <r>
      <rPr>
        <b/>
        <sz val="11"/>
        <color rgb="FF000000"/>
        <rFont val="Arial Rounded MT Bold"/>
        <family val="2"/>
      </rPr>
      <t xml:space="preserve"> (increasing ultimates)</t>
    </r>
    <r>
      <rPr>
        <sz val="11"/>
        <color rgb="FF000000"/>
        <rFont val="Arial Rounded MT Bold"/>
        <family val="2"/>
      </rPr>
      <t>, but not as much as the dev techniques, since it's a credibility-weighted method between the rep BF and dev tech methods</t>
    </r>
  </si>
  <si>
    <r>
      <t>- an increasing case adequacy will lead to changes in the reported claims, and the % reported. The increasing case adequacy will</t>
    </r>
    <r>
      <rPr>
        <b/>
        <sz val="11"/>
        <color rgb="FF000000"/>
        <rFont val="Arial Rounded MT Bold"/>
        <family val="2"/>
      </rPr>
      <t xml:space="preserve"> increase ultimates</t>
    </r>
  </si>
  <si>
    <t>1. There is an increasing in settlemtn rate in AY 2016 and AY 2017</t>
  </si>
  <si>
    <t>2. There is a increasing in case reserve adequacy from AY 2016 and AY 2017</t>
  </si>
  <si>
    <t>i. expected claims</t>
  </si>
  <si>
    <t>1. No impact as expected claim methods rely on A-priori and ignore empirical loss data</t>
  </si>
  <si>
    <t xml:space="preserve">2. No impact as well as it reply on an A-priori </t>
  </si>
  <si>
    <t>II Paid BF</t>
  </si>
  <si>
    <t xml:space="preserve">1. Overestimate the ultimate but not as much as paid development method </t>
  </si>
  <si>
    <t>2. No impact because paid data is not affected by change in case reserve adequacy</t>
  </si>
  <si>
    <t>III. Reported Cape Cod</t>
  </si>
  <si>
    <t>1. No impact as reported data are not affected by change in settlement rate</t>
  </si>
  <si>
    <t xml:space="preserve">2. Overestimating the ultimate but not as much as the reported development method </t>
  </si>
  <si>
    <t>IV Reported Benktander</t>
  </si>
  <si>
    <t xml:space="preserve">1. No impact as reported data is not affected by hachange in settlement rate </t>
  </si>
  <si>
    <t xml:space="preserve">2. Overestimating the ultimate. The effect will be more than reported BF but less than reported development method </t>
  </si>
  <si>
    <t>Cumulative Reported Claims ($000s)</t>
  </si>
  <si>
    <t>Valued as of</t>
  </si>
  <si>
    <t>Selected Reported Claim Development Factors</t>
  </si>
  <si>
    <t>12-Ult</t>
  </si>
  <si>
    <t>24-Ult</t>
  </si>
  <si>
    <t>Scenario 1</t>
  </si>
  <si>
    <t>Scenario 2</t>
  </si>
  <si>
    <t>•    A linear relationship exists for the interim percentage reported between valuation dates.</t>
  </si>
  <si>
    <t>Compare the actual versus expected claims reported between December 31, 2016 and June 30, 2017</t>
  </si>
  <si>
    <t>for each accident year under each scenario.</t>
  </si>
  <si>
    <t>Briefly justify which of the two reported claim development patterns shown above better reflects the</t>
  </si>
  <si>
    <t>actual emergence of claims.</t>
  </si>
  <si>
    <t>Actual minus</t>
  </si>
  <si>
    <t>Emergence</t>
  </si>
  <si>
    <t>Scenario 2 reported claims deveelopment pattern better reflects the actual emergence of claims, since the difference between the actual claims minus the expected claims at 6/30/2017 is less than scenario 1.</t>
  </si>
  <si>
    <t>scenario 1</t>
  </si>
  <si>
    <t>actual</t>
  </si>
  <si>
    <t xml:space="preserve">expected </t>
  </si>
  <si>
    <t>diff</t>
  </si>
  <si>
    <t>scenario 2</t>
  </si>
  <si>
    <t xml:space="preserve">scenario 2 better reflects the actual given </t>
  </si>
  <si>
    <t>the three years' total difference between actual and expected is a lot lower for scenario 2</t>
  </si>
  <si>
    <t>Countrywide</t>
  </si>
  <si>
    <t>Policy Count</t>
  </si>
  <si>
    <t>Written Premium ($000)</t>
  </si>
  <si>
    <t>Commission &amp; Brokerage ($000)</t>
  </si>
  <si>
    <t>Other Acquisition ($000)</t>
  </si>
  <si>
    <t>Taxes, Licenses, &amp; Fees ($000)</t>
  </si>
  <si>
    <t>General Expense ($000)</t>
  </si>
  <si>
    <t>State A</t>
  </si>
  <si>
    <t>Average Premium</t>
  </si>
  <si>
    <t xml:space="preserve">Average Taxes, Licenses &amp; Fees </t>
  </si>
  <si>
    <t>Average Commission &amp; Brokerage</t>
  </si>
  <si>
    <t>Selected Projected Loss + ALAE Ratio</t>
  </si>
  <si>
    <t>Profit Provision</t>
  </si>
  <si>
    <t>ULAE Provision (of Loss + ALAE)</t>
  </si>
  <si>
    <t>•    Proposed effective date of rates is January 1, 2019.</t>
  </si>
  <si>
    <t>Calculate the underwriting expense provision for State A using the all variable expense method.</t>
  </si>
  <si>
    <t>Calculate the fixed and variable underwiting expense provisions for State A using the premium-based projection method, given the following:</t>
  </si>
  <si>
    <t>•    75% of Other Acquisition expenses are fixed.</t>
  </si>
  <si>
    <t>•    75% of General Expenses are fixed.</t>
  </si>
  <si>
    <t>Calculate the indicated rate change using the loss ratio method. Include a brief justification for the selected underwriting expenses.</t>
  </si>
  <si>
    <t>% Fixed</t>
  </si>
  <si>
    <t>Written Premium</t>
  </si>
  <si>
    <t>Commission &amp; Brokerag</t>
  </si>
  <si>
    <t>Other Acquisition</t>
  </si>
  <si>
    <t>Taxes, Licenses, &amp; Fees</t>
  </si>
  <si>
    <t>General Expense</t>
  </si>
  <si>
    <t>Effective date</t>
  </si>
  <si>
    <t>Effective period</t>
  </si>
  <si>
    <t>Policy Term</t>
  </si>
  <si>
    <t>UW Expense provision for state A using all variable expense method</t>
  </si>
  <si>
    <t>Fixed Expense Ratio</t>
  </si>
  <si>
    <t>General Expenses</t>
  </si>
  <si>
    <t>Total Fixed Expense Ratio</t>
  </si>
  <si>
    <t>Total Variable Expense Ratio</t>
  </si>
  <si>
    <t>Ind Rate Change</t>
  </si>
  <si>
    <t>Split fixed and variable expenses. If some expenses truly are fixed and you treat them as variable, you will charge a higher than necessary rate increase if portfolio is increasing in size</t>
  </si>
  <si>
    <t>Bedford Seminars Note: the question was deffective because it did not give you the ultimate count estimates, and estimating ultimate claims via the closed count development method is inapproriate when closure rates are changing. I edited the problem to give you selected ultimate counts (even though they are based on the closed count development technique, as to match the solution here) thus making the problem a valid question.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</si>
</sst>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164" formatCode="&quot;$&quot;#,##0_);\(&quot;$&quot;#,##0\)"/>
    <numFmt numFmtId="165" formatCode="&quot;$&quot;#,##0_);[Red]\(&quot;$&quot;#,##0\)"/>
    <numFmt numFmtId="166" formatCode="&quot;$&quot;#,##0.00_);\(&quot;$&quot;#,##0.00\)"/>
    <numFmt numFmtId="167" formatCode="&quot;$&quot;#,##0.00_);[Red]\(&quot;$&quot;#,##0.00\)"/>
    <numFmt numFmtId="168" formatCode="_(* #,##0_);_(* \(#,##0\);_(* &quot;-&quot;_);_(@_)"/>
    <numFmt numFmtId="169" formatCode="_(&quot;$&quot;* #,##0.00_);_(&quot;$&quot;* \(#,##0.00\);_(&quot;$&quot;* &quot;-&quot;??_);_(@_)"/>
    <numFmt numFmtId="170" formatCode="_(* #,##0.00_);_(* \(#,##0.00\);_(* &quot;-&quot;??_);_(@_)"/>
    <numFmt numFmtId="171" formatCode="[$-409]mmmm\ d\,\ yyyy;@"/>
    <numFmt numFmtId="172" formatCode="_(* #,##0_);_(* \(#,##0\);_(* \-??_);_(@_)"/>
    <numFmt numFmtId="173" formatCode="_(* #,##0.00_);_(* \(#,##0.00\);_(* \-??_);_(@_)"/>
    <numFmt numFmtId="174" formatCode="0.000"/>
    <numFmt numFmtId="175" formatCode="0.00000"/>
    <numFmt numFmtId="176" formatCode="_(* #,##0.0000_);_(* \(#,##0.0000\);_(* &quot;-&quot;??_);_(@_)"/>
    <numFmt numFmtId="177" formatCode="_(* #,##0_);_(* \(#,##0\);_(* &quot;-&quot;??_);_(@_)"/>
    <numFmt numFmtId="178" formatCode="mmmm\ d&quot;, &quot;yyyy;@"/>
    <numFmt numFmtId="179" formatCode="0.0%"/>
    <numFmt numFmtId="180" formatCode="#,##0.000"/>
    <numFmt numFmtId="181" formatCode="0.0000%"/>
    <numFmt numFmtId="182" formatCode="0.00000%"/>
    <numFmt numFmtId="183" formatCode="_(* #,##0.000_);_(* \(#,##0.000\);_(* &quot;-&quot;??_);_(@_)"/>
    <numFmt numFmtId="184" formatCode="\$#,##0"/>
    <numFmt numFmtId="185" formatCode="&quot;$&quot;#,##0"/>
    <numFmt numFmtId="186" formatCode="\$#,##0_);[Red]&quot;($&quot;#,##0\)"/>
    <numFmt numFmtId="187" formatCode="#,##0.0"/>
    <numFmt numFmtId="188" formatCode="_(* #,##0.0_);_(* \(#,##0.0\);_(* &quot;-&quot;??_);_(@_)"/>
    <numFmt numFmtId="189" formatCode="0.0000"/>
    <numFmt numFmtId="190" formatCode="_(* #,##0_);_(* \(#,##0\);_(* \-???_);_(@_)"/>
    <numFmt numFmtId="191" formatCode="#,##0.0_);\(#,##0.0\)"/>
    <numFmt numFmtId="192" formatCode="#,##0.0000_);\(#,##0.0000\)"/>
    <numFmt numFmtId="193" formatCode="#,##0.00000_);\(#,##0.00000\)"/>
    <numFmt numFmtId="194" formatCode="_(&quot;$&quot;* #,##0_);_(&quot;$&quot;* \(#,##0\);_(&quot;$&quot;* &quot;-&quot;??_);_(@_)"/>
    <numFmt numFmtId="195" formatCode="mm/dd/yy;@"/>
  </numFmts>
  <fonts count="52" x14ac:knownFonts="1">
    <font>
      <sz val="11"/>
      <color theme="1"/>
      <name val="Arial"/>
      <family val="2"/>
    </font>
    <font>
      <sz val="10"/>
      <color theme="1"/>
      <name val="Arial"/>
      <family val="2"/>
    </font>
    <font>
      <sz val="11"/>
      <color theme="1"/>
      <name val="Calibri"/>
      <family val="2"/>
      <scheme val="minor"/>
    </font>
    <font>
      <b/>
      <sz val="11"/>
      <name val="Arial Rounded MT Bold"/>
      <family val="2"/>
    </font>
    <font>
      <sz val="10"/>
      <name val="Arial"/>
      <family val="2"/>
      <charset val="1"/>
    </font>
    <font>
      <sz val="11"/>
      <color theme="1"/>
      <name val="Arial Rounded MT Bold"/>
      <family val="2"/>
    </font>
    <font>
      <sz val="11"/>
      <color theme="1"/>
      <name val="Arial"/>
      <family val="2"/>
    </font>
    <font>
      <sz val="11"/>
      <color rgb="FF000000"/>
      <name val="Calibri"/>
      <family val="2"/>
      <charset val="1"/>
    </font>
    <font>
      <b/>
      <u/>
      <sz val="11"/>
      <color rgb="FFFF0000"/>
      <name val="Arial Rounded MT Bold"/>
      <family val="2"/>
    </font>
    <font>
      <sz val="11"/>
      <color rgb="FFFF0000"/>
      <name val="Arial Rounded MT Bold"/>
      <family val="2"/>
    </font>
    <font>
      <sz val="11"/>
      <color rgb="FF000000"/>
      <name val="Arial Rounded MT Bold"/>
      <family val="2"/>
    </font>
    <font>
      <sz val="11"/>
      <name val="Arial Rounded MT Bold"/>
      <family val="2"/>
    </font>
    <font>
      <i/>
      <sz val="11"/>
      <color rgb="FF000000"/>
      <name val="Arial Rounded MT Bold"/>
      <family val="2"/>
    </font>
    <font>
      <b/>
      <sz val="11"/>
      <color theme="1"/>
      <name val="Calibri"/>
      <family val="2"/>
      <scheme val="minor"/>
    </font>
    <font>
      <i/>
      <u/>
      <sz val="11"/>
      <color rgb="FF000000"/>
      <name val="Arial Rounded MT Bold"/>
      <family val="2"/>
    </font>
    <font>
      <sz val="11"/>
      <color rgb="FF7030A0"/>
      <name val="Arial Rounded MT Bold"/>
      <family val="2"/>
    </font>
    <font>
      <sz val="11"/>
      <color rgb="FF9C5700"/>
      <name val="Calibri"/>
      <family val="2"/>
      <scheme val="minor"/>
    </font>
    <font>
      <sz val="10"/>
      <color indexed="8"/>
      <name val="Arial"/>
      <family val="2"/>
    </font>
    <font>
      <i/>
      <sz val="11"/>
      <name val="Arial Rounded MT Bold"/>
      <family val="2"/>
    </font>
    <font>
      <u/>
      <sz val="11"/>
      <color theme="1"/>
      <name val="Calibri"/>
      <family val="2"/>
      <scheme val="minor"/>
    </font>
    <font>
      <i/>
      <sz val="11"/>
      <color theme="1"/>
      <name val="Calibri"/>
      <family val="2"/>
      <scheme val="minor"/>
    </font>
    <font>
      <i/>
      <sz val="11"/>
      <color rgb="FF7F7F7F"/>
      <name val="Calibri"/>
      <family val="2"/>
      <scheme val="minor"/>
    </font>
    <font>
      <sz val="11"/>
      <color theme="0" tint="-4.9989318521683403E-2"/>
      <name val="Arial Rounded MT Bold"/>
      <family val="2"/>
    </font>
    <font>
      <sz val="11"/>
      <color rgb="FF0000FF"/>
      <name val="Arial Rounded MT Bold"/>
      <family val="2"/>
    </font>
    <font>
      <b/>
      <sz val="11"/>
      <color theme="1"/>
      <name val="Arial Rounded MT Bold"/>
      <family val="2"/>
    </font>
    <font>
      <sz val="11"/>
      <color theme="1"/>
      <name val="Cambria"/>
      <family val="2"/>
      <scheme val="major"/>
    </font>
    <font>
      <b/>
      <sz val="11"/>
      <name val="Cambria"/>
      <family val="2"/>
      <scheme val="major"/>
    </font>
    <font>
      <sz val="11"/>
      <name val="Cambria"/>
      <family val="2"/>
      <scheme val="major"/>
    </font>
    <font>
      <b/>
      <u/>
      <sz val="11"/>
      <color rgb="FFFF0000"/>
      <name val="Cambria"/>
      <family val="2"/>
      <scheme val="major"/>
    </font>
    <font>
      <sz val="11"/>
      <color rgb="FFFF0000"/>
      <name val="Cambria"/>
      <family val="2"/>
      <scheme val="major"/>
    </font>
    <font>
      <sz val="11"/>
      <color rgb="FF000000"/>
      <name val="Cambria"/>
      <family val="2"/>
      <scheme val="major"/>
    </font>
    <font>
      <sz val="11"/>
      <name val="Calibri"/>
      <family val="2"/>
      <scheme val="minor"/>
    </font>
    <font>
      <u/>
      <sz val="11"/>
      <color rgb="FF000000"/>
      <name val="Arial Rounded MT Bold"/>
      <family val="2"/>
    </font>
    <font>
      <sz val="12"/>
      <color theme="1"/>
      <name val="Calibri"/>
      <family val="2"/>
      <scheme val="minor"/>
    </font>
    <font>
      <sz val="11"/>
      <color theme="4" tint="-0.249977111117893"/>
      <name val="Arial Rounded MT Bold"/>
      <family val="2"/>
    </font>
    <font>
      <sz val="10"/>
      <name val="Arial"/>
      <family val="2"/>
    </font>
    <font>
      <i/>
      <sz val="11"/>
      <color theme="1"/>
      <name val="Arial Rounded MT Bold"/>
      <family val="2"/>
    </font>
    <font>
      <i/>
      <sz val="11"/>
      <color rgb="FFFF0000"/>
      <name val="Arial Rounded MT Bold"/>
      <family val="2"/>
    </font>
    <font>
      <b/>
      <sz val="11"/>
      <color theme="4" tint="-0.249977111117893"/>
      <name val="Arial Rounded MT Bold"/>
      <family val="2"/>
    </font>
    <font>
      <sz val="11"/>
      <color indexed="8"/>
      <name val="Calibri"/>
      <family val="2"/>
    </font>
    <font>
      <sz val="11"/>
      <color indexed="8"/>
      <name val="Calibri"/>
      <family val="2"/>
      <charset val="1"/>
    </font>
    <font>
      <sz val="10"/>
      <color indexed="8"/>
      <name val="Arial"/>
      <family val="2"/>
    </font>
    <font>
      <b/>
      <u/>
      <sz val="11"/>
      <color indexed="10"/>
      <name val="Arial Rounded MT Bold"/>
      <family val="2"/>
    </font>
    <font>
      <sz val="11"/>
      <color indexed="10"/>
      <name val="Arial Rounded MT Bold"/>
      <family val="2"/>
    </font>
    <font>
      <sz val="11"/>
      <color indexed="8"/>
      <name val="Arial Rounded MT Bold"/>
      <family val="2"/>
    </font>
    <font>
      <u/>
      <sz val="11"/>
      <name val="Arial Rounded MT Bold"/>
      <family val="2"/>
    </font>
    <font>
      <i/>
      <sz val="11"/>
      <color rgb="FF000000"/>
      <name val="Cambria"/>
      <family val="2"/>
      <scheme val="major"/>
    </font>
    <font>
      <sz val="11"/>
      <color rgb="FF0000FF"/>
      <name val="Cambria"/>
      <family val="2"/>
      <scheme val="major"/>
    </font>
    <font>
      <sz val="11"/>
      <color rgb="FF7030A0"/>
      <name val="Cambria"/>
      <family val="2"/>
      <scheme val="major"/>
    </font>
    <font>
      <b/>
      <sz val="11"/>
      <color rgb="FF000000"/>
      <name val="Arial Rounded MT Bold"/>
      <family val="2"/>
    </font>
    <font>
      <u/>
      <sz val="11"/>
      <color theme="1"/>
      <name val="Arial Rounded MT Bold"/>
      <family val="2"/>
    </font>
    <font>
      <sz val="11"/>
      <color theme="2" tint="-9.9978637043366805E-2"/>
      <name val="Arial Rounded MT Bold"/>
      <family val="2"/>
    </font>
  </fonts>
  <fills count="15">
    <fill>
      <patternFill patternType="none"/>
    </fill>
    <fill>
      <patternFill patternType="gray125"/>
    </fill>
    <fill>
      <patternFill patternType="solid">
        <fgColor rgb="FFFFEB9C"/>
      </patternFill>
    </fill>
    <fill>
      <patternFill patternType="solid">
        <fgColor theme="0" tint="-4.9989318521683403E-2"/>
        <bgColor indexed="64"/>
      </patternFill>
    </fill>
    <fill>
      <patternFill patternType="solid">
        <fgColor theme="0" tint="-4.9989318521683403E-2"/>
        <bgColor rgb="FFFFFFCC"/>
      </patternFill>
    </fill>
    <fill>
      <patternFill patternType="solid">
        <fgColor rgb="FFF2F2F2"/>
        <bgColor rgb="FFFFFFCC"/>
      </patternFill>
    </fill>
    <fill>
      <patternFill patternType="solid">
        <fgColor rgb="FFFFFF00"/>
        <bgColor indexed="64"/>
      </patternFill>
    </fill>
    <fill>
      <patternFill patternType="solid">
        <fgColor rgb="FFF2F2F2"/>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0" tint="-0.14999847407452621"/>
        <bgColor rgb="FFFFFFCC"/>
      </patternFill>
    </fill>
    <fill>
      <patternFill patternType="solid">
        <fgColor rgb="FF92D050"/>
        <bgColor indexed="64"/>
      </patternFill>
    </fill>
    <fill>
      <patternFill patternType="solid">
        <fgColor theme="0"/>
        <bgColor indexed="64"/>
      </patternFill>
    </fill>
    <fill>
      <patternFill patternType="solid">
        <fgColor indexed="9"/>
        <bgColor indexed="64"/>
      </patternFill>
    </fill>
    <fill>
      <patternFill patternType="solid">
        <fgColor indexed="9"/>
        <bgColor indexed="26"/>
      </patternFill>
    </fill>
  </fills>
  <borders count="21">
    <border>
      <left/>
      <right/>
      <top/>
      <bottom/>
      <diagonal/>
    </border>
    <border>
      <left style="medium">
        <color auto="1"/>
      </left>
      <right style="medium">
        <color auto="1"/>
      </right>
      <top style="medium">
        <color auto="1"/>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s>
  <cellStyleXfs count="43">
    <xf numFmtId="0" fontId="0" fillId="0" borderId="0"/>
    <xf numFmtId="0" fontId="2" fillId="0" borderId="0" applyNumberFormat="0" applyFont="0" applyFill="0" applyBorder="0" applyAlignment="0" applyProtection="0"/>
    <xf numFmtId="0" fontId="4" fillId="0" borderId="0" applyNumberFormat="0" applyFont="0" applyFill="0" applyBorder="0" applyAlignment="0" applyProtection="0"/>
    <xf numFmtId="0" fontId="7" fillId="0" borderId="0" applyNumberFormat="0" applyFont="0" applyFill="0" applyBorder="0" applyAlignment="0" applyProtection="0"/>
    <xf numFmtId="170" fontId="1" fillId="0" borderId="0" applyNumberFormat="0" applyFont="0" applyFill="0" applyBorder="0" applyAlignment="0" applyProtection="0"/>
    <xf numFmtId="170" fontId="2" fillId="0" borderId="0" applyNumberFormat="0" applyFont="0" applyFill="0" applyBorder="0" applyAlignment="0" applyProtection="0"/>
    <xf numFmtId="170" fontId="1" fillId="0" borderId="0" applyFont="0" applyFill="0" applyBorder="0" applyAlignment="0" applyProtection="0"/>
    <xf numFmtId="169" fontId="2" fillId="0" borderId="0" applyNumberFormat="0" applyFont="0" applyFill="0" applyBorder="0" applyAlignment="0" applyProtection="0"/>
    <xf numFmtId="0" fontId="4" fillId="0" borderId="0"/>
    <xf numFmtId="0" fontId="16" fillId="2" borderId="0" applyNumberFormat="0" applyFont="0" applyFill="0" applyBorder="0" applyAlignment="0" applyProtection="0"/>
    <xf numFmtId="0" fontId="17" fillId="0" borderId="0"/>
    <xf numFmtId="0" fontId="17" fillId="0" borderId="0"/>
    <xf numFmtId="0" fontId="7" fillId="0" borderId="0"/>
    <xf numFmtId="9" fontId="2" fillId="0" borderId="0" applyNumberFormat="0" applyFont="0" applyFill="0" applyBorder="0" applyAlignment="0" applyProtection="0"/>
    <xf numFmtId="173" fontId="7" fillId="0" borderId="0" applyNumberFormat="0" applyFont="0" applyFill="0" applyBorder="0" applyAlignment="0" applyProtection="0"/>
    <xf numFmtId="9" fontId="7" fillId="0" borderId="0" applyNumberFormat="0" applyFont="0" applyFill="0" applyBorder="0" applyAlignment="0" applyProtection="0"/>
    <xf numFmtId="0" fontId="2" fillId="0" borderId="0"/>
    <xf numFmtId="0" fontId="21" fillId="0" borderId="0" applyNumberFormat="0" applyFont="0" applyFill="0" applyBorder="0" applyAlignment="0" applyProtection="0"/>
    <xf numFmtId="0" fontId="2" fillId="0" borderId="0" applyNumberFormat="0" applyFont="0" applyFill="0" applyBorder="0" applyAlignment="0" applyProtection="0"/>
    <xf numFmtId="9" fontId="2" fillId="0" borderId="0" applyNumberFormat="0" applyFont="0" applyFill="0" applyBorder="0" applyAlignment="0" applyProtection="0"/>
    <xf numFmtId="0" fontId="6" fillId="0" borderId="0" applyNumberFormat="0" applyFont="0" applyFill="0" applyBorder="0" applyAlignment="0" applyProtection="0"/>
    <xf numFmtId="9" fontId="6" fillId="0" borderId="0" applyNumberFormat="0" applyFont="0" applyFill="0" applyBorder="0" applyAlignment="0" applyProtection="0"/>
    <xf numFmtId="0" fontId="2" fillId="0" borderId="0"/>
    <xf numFmtId="9" fontId="7" fillId="0" borderId="0" applyBorder="0" applyProtection="0"/>
    <xf numFmtId="173" fontId="7" fillId="0" borderId="0" applyNumberFormat="0" applyFont="0" applyFill="0" applyBorder="0" applyAlignment="0" applyProtection="0"/>
    <xf numFmtId="169" fontId="2" fillId="0" borderId="0" applyNumberFormat="0" applyFont="0" applyFill="0" applyBorder="0" applyAlignment="0" applyProtection="0"/>
    <xf numFmtId="168" fontId="2" fillId="0" borderId="0" applyNumberFormat="0" applyFont="0" applyFill="0" applyBorder="0" applyAlignment="0" applyProtection="0"/>
    <xf numFmtId="169" fontId="2" fillId="0" borderId="0" applyFont="0" applyFill="0" applyBorder="0" applyAlignment="0" applyProtection="0"/>
    <xf numFmtId="0" fontId="33" fillId="0" borderId="0" applyNumberFormat="0" applyFont="0" applyFill="0" applyBorder="0" applyAlignment="0" applyProtection="0"/>
    <xf numFmtId="0" fontId="35" fillId="0" borderId="0" applyNumberFormat="0" applyFont="0" applyFill="0" applyBorder="0" applyAlignment="0" applyProtection="0"/>
    <xf numFmtId="170" fontId="2" fillId="0" borderId="0" applyFont="0" applyFill="0" applyBorder="0" applyAlignment="0" applyProtection="0"/>
    <xf numFmtId="173" fontId="7" fillId="0" borderId="0" applyNumberFormat="0" applyFont="0" applyFill="0" applyBorder="0" applyAlignment="0" applyProtection="0"/>
    <xf numFmtId="170" fontId="2" fillId="0" borderId="0" applyNumberFormat="0" applyFont="0" applyFill="0" applyBorder="0" applyAlignment="0" applyProtection="0"/>
    <xf numFmtId="0" fontId="39" fillId="0" borderId="0" applyNumberFormat="0" applyFont="0" applyFill="0" applyBorder="0" applyAlignment="0" applyProtection="0"/>
    <xf numFmtId="0" fontId="40" fillId="0" borderId="0" applyNumberFormat="0" applyFont="0" applyFill="0" applyBorder="0" applyAlignment="0" applyProtection="0"/>
    <xf numFmtId="0" fontId="41" fillId="0" borderId="0"/>
    <xf numFmtId="170" fontId="39" fillId="0" borderId="0" applyNumberFormat="0" applyFont="0" applyFill="0" applyBorder="0" applyAlignment="0" applyProtection="0"/>
    <xf numFmtId="170" fontId="17" fillId="0" borderId="0" applyFont="0" applyFill="0" applyBorder="0" applyAlignment="0" applyProtection="0"/>
    <xf numFmtId="0" fontId="7" fillId="0" borderId="0" applyNumberFormat="0" applyFont="0" applyFill="0" applyBorder="0" applyAlignment="0" applyProtection="0"/>
    <xf numFmtId="9" fontId="7" fillId="0" borderId="0" applyNumberFormat="0" applyFont="0" applyFill="0" applyBorder="0" applyAlignment="0" applyProtection="0"/>
    <xf numFmtId="9" fontId="7" fillId="0" borderId="0" applyFont="0" applyFill="0" applyBorder="0" applyAlignment="0" applyProtection="0"/>
    <xf numFmtId="170" fontId="2" fillId="0" borderId="0" applyNumberFormat="0" applyFont="0" applyFill="0" applyBorder="0" applyAlignment="0" applyProtection="0"/>
    <xf numFmtId="169" fontId="2" fillId="0" borderId="0" applyNumberFormat="0" applyFont="0" applyFill="0" applyBorder="0" applyAlignment="0" applyProtection="0"/>
  </cellStyleXfs>
  <cellXfs count="1212">
    <xf numFmtId="0" fontId="0" fillId="0" borderId="0" xfId="0"/>
    <xf numFmtId="0" fontId="3" fillId="0" borderId="1" xfId="1" applyFont="1" applyBorder="1" applyAlignment="1" applyProtection="1">
      <alignment horizontal="center"/>
    </xf>
    <xf numFmtId="0" fontId="3" fillId="0" borderId="1" xfId="2" applyFont="1" applyBorder="1" applyAlignment="1" applyProtection="1">
      <alignment horizontal="center"/>
    </xf>
    <xf numFmtId="0" fontId="5" fillId="3" borderId="2" xfId="1" applyFont="1" applyFill="1" applyBorder="1" applyProtection="1"/>
    <xf numFmtId="0" fontId="5" fillId="3" borderId="3" xfId="1" applyFont="1" applyFill="1" applyBorder="1" applyProtection="1"/>
    <xf numFmtId="0" fontId="5" fillId="0" borderId="0" xfId="1" applyFont="1" applyProtection="1"/>
    <xf numFmtId="0" fontId="5" fillId="0" borderId="0" xfId="1" applyFont="1"/>
    <xf numFmtId="0" fontId="8" fillId="4" borderId="4" xfId="3" applyFont="1" applyFill="1" applyBorder="1" applyAlignment="1" applyProtection="1">
      <alignment horizontal="center"/>
    </xf>
    <xf numFmtId="0" fontId="5" fillId="3" borderId="0" xfId="1" applyFont="1" applyFill="1" applyBorder="1" applyProtection="1"/>
    <xf numFmtId="0" fontId="5" fillId="3" borderId="5" xfId="1" applyFont="1" applyFill="1" applyBorder="1" applyProtection="1"/>
    <xf numFmtId="2" fontId="9" fillId="4" borderId="4" xfId="3" applyNumberFormat="1" applyFont="1" applyFill="1" applyBorder="1" applyAlignment="1" applyProtection="1">
      <alignment horizontal="center"/>
    </xf>
    <xf numFmtId="0" fontId="10" fillId="3" borderId="0" xfId="1" applyFont="1" applyFill="1" applyBorder="1" applyProtection="1"/>
    <xf numFmtId="0" fontId="5" fillId="3" borderId="4" xfId="1" applyFont="1" applyFill="1" applyBorder="1" applyProtection="1"/>
    <xf numFmtId="0" fontId="5" fillId="3" borderId="6" xfId="1" applyFont="1" applyFill="1" applyBorder="1" applyAlignment="1" applyProtection="1">
      <alignment horizontal="center" wrapText="1"/>
    </xf>
    <xf numFmtId="0" fontId="5" fillId="3" borderId="7" xfId="1" applyFont="1" applyFill="1" applyBorder="1" applyAlignment="1" applyProtection="1">
      <alignment horizontal="center" wrapText="1"/>
    </xf>
    <xf numFmtId="0" fontId="5" fillId="3" borderId="8" xfId="1" applyFont="1" applyFill="1" applyBorder="1" applyAlignment="1" applyProtection="1">
      <alignment horizontal="center" wrapText="1"/>
    </xf>
    <xf numFmtId="0" fontId="5" fillId="3" borderId="4" xfId="1" applyFont="1" applyFill="1" applyBorder="1" applyAlignment="1" applyProtection="1">
      <alignment horizontal="center"/>
    </xf>
    <xf numFmtId="171" fontId="5" fillId="3" borderId="0" xfId="1" applyNumberFormat="1" applyFont="1" applyFill="1" applyBorder="1" applyAlignment="1" applyProtection="1">
      <alignment horizontal="center"/>
    </xf>
    <xf numFmtId="0" fontId="5" fillId="3" borderId="0" xfId="1" applyFont="1" applyFill="1" applyBorder="1" applyAlignment="1" applyProtection="1">
      <alignment horizontal="center"/>
    </xf>
    <xf numFmtId="0" fontId="5" fillId="3" borderId="5" xfId="1" applyFont="1" applyFill="1" applyBorder="1" applyAlignment="1" applyProtection="1">
      <alignment horizontal="right"/>
    </xf>
    <xf numFmtId="0" fontId="5" fillId="3" borderId="9" xfId="1" applyFont="1" applyFill="1" applyBorder="1" applyAlignment="1" applyProtection="1">
      <alignment horizontal="center"/>
    </xf>
    <xf numFmtId="171" fontId="5" fillId="3" borderId="10" xfId="1" applyNumberFormat="1" applyFont="1" applyFill="1" applyBorder="1" applyAlignment="1" applyProtection="1">
      <alignment horizontal="center"/>
    </xf>
    <xf numFmtId="0" fontId="5" fillId="3" borderId="10" xfId="1" applyFont="1" applyFill="1" applyBorder="1" applyAlignment="1" applyProtection="1">
      <alignment horizontal="center"/>
    </xf>
    <xf numFmtId="0" fontId="5" fillId="3" borderId="11" xfId="1" applyFont="1" applyFill="1" applyBorder="1" applyAlignment="1" applyProtection="1">
      <alignment horizontal="right"/>
    </xf>
    <xf numFmtId="0" fontId="5" fillId="3" borderId="0" xfId="1" applyFont="1" applyFill="1" applyBorder="1" applyAlignment="1" applyProtection="1"/>
    <xf numFmtId="0" fontId="5" fillId="3" borderId="5" xfId="1" applyFont="1" applyFill="1" applyBorder="1" applyAlignment="1" applyProtection="1"/>
    <xf numFmtId="0" fontId="5" fillId="3" borderId="0" xfId="1" applyFont="1" applyFill="1" applyBorder="1" applyAlignment="1" applyProtection="1">
      <alignment horizontal="left"/>
    </xf>
    <xf numFmtId="0" fontId="5" fillId="3" borderId="0" xfId="1" applyFont="1" applyFill="1" applyBorder="1" applyAlignment="1" applyProtection="1">
      <alignment horizontal="left" wrapText="1"/>
    </xf>
    <xf numFmtId="0" fontId="5" fillId="3" borderId="5" xfId="1" applyFont="1" applyFill="1" applyBorder="1" applyAlignment="1" applyProtection="1">
      <alignment horizontal="left" wrapText="1"/>
    </xf>
    <xf numFmtId="0" fontId="5" fillId="3" borderId="9" xfId="1" applyFont="1" applyFill="1" applyBorder="1" applyProtection="1"/>
    <xf numFmtId="0" fontId="5" fillId="3" borderId="10" xfId="1" applyFont="1" applyFill="1" applyBorder="1" applyProtection="1"/>
    <xf numFmtId="0" fontId="5" fillId="3" borderId="11" xfId="1" applyFont="1" applyFill="1" applyBorder="1" applyProtection="1"/>
    <xf numFmtId="0" fontId="5" fillId="0" borderId="0" xfId="1" applyFont="1" applyProtection="1">
      <protection locked="0"/>
    </xf>
    <xf numFmtId="0" fontId="10" fillId="3" borderId="2" xfId="3" applyFont="1" applyFill="1" applyBorder="1" applyProtection="1"/>
    <xf numFmtId="0" fontId="10" fillId="3" borderId="3" xfId="3" applyFont="1" applyFill="1" applyBorder="1" applyProtection="1"/>
    <xf numFmtId="0" fontId="11" fillId="0" borderId="3" xfId="3" applyFont="1" applyBorder="1" applyProtection="1"/>
    <xf numFmtId="0" fontId="2" fillId="0" borderId="0" xfId="1" applyProtection="1"/>
    <xf numFmtId="0" fontId="2" fillId="0" borderId="0" xfId="1"/>
    <xf numFmtId="0" fontId="8" fillId="5" borderId="4" xfId="3" applyFont="1" applyFill="1" applyBorder="1" applyAlignment="1" applyProtection="1">
      <alignment horizontal="center"/>
    </xf>
    <xf numFmtId="0" fontId="10" fillId="5" borderId="0" xfId="3" applyFont="1" applyFill="1" applyBorder="1" applyProtection="1"/>
    <xf numFmtId="0" fontId="10" fillId="5" borderId="5" xfId="3" applyFont="1" applyFill="1" applyBorder="1" applyProtection="1"/>
    <xf numFmtId="0" fontId="11" fillId="0" borderId="5" xfId="3" applyFont="1" applyBorder="1" applyProtection="1"/>
    <xf numFmtId="2" fontId="9" fillId="5" borderId="4" xfId="3" applyNumberFormat="1" applyFont="1" applyFill="1" applyBorder="1" applyAlignment="1" applyProtection="1">
      <alignment horizontal="center"/>
    </xf>
    <xf numFmtId="0" fontId="2" fillId="0" borderId="0" xfId="1" applyAlignment="1" applyProtection="1">
      <alignment horizontal="center"/>
    </xf>
    <xf numFmtId="0" fontId="10" fillId="3" borderId="0" xfId="3" applyFont="1" applyFill="1" applyBorder="1" applyProtection="1"/>
    <xf numFmtId="0" fontId="10" fillId="4" borderId="0" xfId="3" applyFont="1" applyFill="1" applyBorder="1" applyProtection="1"/>
    <xf numFmtId="0" fontId="12" fillId="5" borderId="0" xfId="3" applyFont="1" applyFill="1" applyBorder="1" applyProtection="1"/>
    <xf numFmtId="0" fontId="12" fillId="5" borderId="5" xfId="3" applyFont="1" applyFill="1" applyBorder="1" applyProtection="1"/>
    <xf numFmtId="37" fontId="13" fillId="6" borderId="0" xfId="1" applyNumberFormat="1" applyFont="1" applyFill="1" applyAlignment="1" applyProtection="1">
      <alignment horizontal="center"/>
    </xf>
    <xf numFmtId="0" fontId="10" fillId="4" borderId="0" xfId="3" applyFont="1" applyFill="1" applyBorder="1" applyAlignment="1" applyProtection="1">
      <alignment horizontal="left"/>
    </xf>
    <xf numFmtId="0" fontId="10" fillId="3" borderId="6" xfId="3" applyFont="1" applyFill="1" applyBorder="1" applyAlignment="1" applyProtection="1">
      <alignment horizontal="center" vertical="center" wrapText="1"/>
    </xf>
    <xf numFmtId="0" fontId="10" fillId="3" borderId="7" xfId="3" applyFont="1" applyFill="1" applyBorder="1" applyAlignment="1" applyProtection="1">
      <alignment horizontal="center" vertical="center" wrapText="1"/>
    </xf>
    <xf numFmtId="0" fontId="10" fillId="7" borderId="7" xfId="3" applyFont="1" applyFill="1" applyBorder="1" applyAlignment="1" applyProtection="1">
      <alignment horizontal="right" vertical="center" wrapText="1"/>
    </xf>
    <xf numFmtId="0" fontId="10" fillId="7" borderId="8" xfId="3" applyFont="1" applyFill="1" applyBorder="1" applyAlignment="1" applyProtection="1">
      <alignment horizontal="right" vertical="center" wrapText="1"/>
    </xf>
    <xf numFmtId="171" fontId="10" fillId="3" borderId="2" xfId="3" applyNumberFormat="1" applyFont="1" applyFill="1" applyBorder="1" applyAlignment="1" applyProtection="1">
      <alignment horizontal="center" vertical="center"/>
    </xf>
    <xf numFmtId="37" fontId="10" fillId="3" borderId="2" xfId="4" applyNumberFormat="1" applyFont="1" applyFill="1" applyBorder="1" applyAlignment="1" applyProtection="1">
      <alignment horizontal="right" vertical="center"/>
    </xf>
    <xf numFmtId="37" fontId="10" fillId="3" borderId="3" xfId="4" applyNumberFormat="1" applyFont="1" applyFill="1" applyBorder="1" applyAlignment="1" applyProtection="1">
      <alignment horizontal="right" vertical="center"/>
    </xf>
    <xf numFmtId="0" fontId="14" fillId="5" borderId="5" xfId="3" applyFont="1" applyFill="1" applyBorder="1" applyAlignment="1" applyProtection="1">
      <alignment vertical="center" wrapText="1"/>
    </xf>
    <xf numFmtId="171" fontId="10" fillId="3" borderId="0" xfId="3" applyNumberFormat="1" applyFont="1" applyFill="1" applyBorder="1" applyAlignment="1" applyProtection="1">
      <alignment horizontal="center" vertical="center"/>
    </xf>
    <xf numFmtId="37" fontId="10" fillId="3" borderId="0" xfId="4" applyNumberFormat="1" applyFont="1" applyFill="1" applyBorder="1" applyAlignment="1" applyProtection="1">
      <alignment horizontal="right" vertical="center"/>
    </xf>
    <xf numFmtId="37" fontId="10" fillId="3" borderId="5" xfId="4" applyNumberFormat="1" applyFont="1" applyFill="1" applyBorder="1" applyAlignment="1" applyProtection="1">
      <alignment horizontal="right" vertical="center"/>
    </xf>
    <xf numFmtId="0" fontId="12" fillId="5" borderId="5" xfId="3" applyFont="1" applyFill="1" applyBorder="1" applyAlignment="1" applyProtection="1">
      <alignment horizontal="right" vertical="center" wrapText="1"/>
    </xf>
    <xf numFmtId="171" fontId="10" fillId="3" borderId="10" xfId="3" applyNumberFormat="1" applyFont="1" applyFill="1" applyBorder="1" applyAlignment="1" applyProtection="1">
      <alignment horizontal="center" vertical="center"/>
    </xf>
    <xf numFmtId="37" fontId="10" fillId="3" borderId="10" xfId="4" applyNumberFormat="1" applyFont="1" applyFill="1" applyBorder="1" applyAlignment="1" applyProtection="1">
      <alignment horizontal="right" vertical="center"/>
    </xf>
    <xf numFmtId="37" fontId="10" fillId="3" borderId="11" xfId="4" applyNumberFormat="1" applyFont="1" applyFill="1" applyBorder="1" applyAlignment="1" applyProtection="1">
      <alignment horizontal="right" vertical="center"/>
    </xf>
    <xf numFmtId="0" fontId="10" fillId="3" borderId="0" xfId="3" applyFont="1" applyFill="1" applyBorder="1" applyAlignment="1" applyProtection="1">
      <alignment horizontal="left" indent="1"/>
    </xf>
    <xf numFmtId="0" fontId="10" fillId="4" borderId="0" xfId="3" applyFont="1" applyFill="1" applyBorder="1" applyAlignment="1" applyProtection="1">
      <alignment horizontal="left" vertical="center"/>
    </xf>
    <xf numFmtId="2" fontId="9" fillId="5" borderId="0" xfId="3" applyNumberFormat="1" applyFont="1" applyFill="1" applyBorder="1" applyAlignment="1" applyProtection="1">
      <alignment horizontal="center"/>
    </xf>
    <xf numFmtId="3" fontId="15" fillId="4" borderId="0" xfId="3" applyNumberFormat="1" applyFont="1" applyFill="1" applyBorder="1" applyAlignment="1" applyProtection="1">
      <alignment horizontal="right" vertical="center" wrapText="1"/>
    </xf>
    <xf numFmtId="0" fontId="15" fillId="4" borderId="0" xfId="3" applyFont="1" applyFill="1" applyBorder="1" applyAlignment="1" applyProtection="1">
      <alignment horizontal="right" vertical="center" wrapText="1"/>
    </xf>
    <xf numFmtId="0" fontId="15" fillId="5" borderId="0" xfId="3" applyFont="1" applyFill="1" applyBorder="1" applyAlignment="1" applyProtection="1">
      <alignment horizontal="right" vertical="center" wrapText="1"/>
    </xf>
    <xf numFmtId="0" fontId="15" fillId="5" borderId="0" xfId="3" applyFont="1" applyFill="1" applyBorder="1" applyProtection="1"/>
    <xf numFmtId="0" fontId="10" fillId="4" borderId="0" xfId="3" applyFont="1" applyFill="1" applyBorder="1" applyAlignment="1" applyProtection="1"/>
    <xf numFmtId="0" fontId="10" fillId="4" borderId="5" xfId="3" applyFont="1" applyFill="1" applyBorder="1" applyAlignment="1" applyProtection="1"/>
    <xf numFmtId="0" fontId="11" fillId="0" borderId="5" xfId="3" applyFont="1" applyBorder="1" applyAlignment="1" applyProtection="1"/>
    <xf numFmtId="2" fontId="9" fillId="5" borderId="9" xfId="3" applyNumberFormat="1" applyFont="1" applyFill="1" applyBorder="1" applyAlignment="1" applyProtection="1">
      <alignment horizontal="center"/>
    </xf>
    <xf numFmtId="0" fontId="10" fillId="5" borderId="10" xfId="3" applyFont="1" applyFill="1" applyBorder="1" applyAlignment="1" applyProtection="1">
      <alignment vertical="center"/>
    </xf>
    <xf numFmtId="0" fontId="10" fillId="5" borderId="11" xfId="3" applyFont="1" applyFill="1" applyBorder="1" applyAlignment="1" applyProtection="1">
      <alignment vertical="center"/>
    </xf>
    <xf numFmtId="0" fontId="11" fillId="0" borderId="11" xfId="3" applyFont="1" applyBorder="1" applyProtection="1"/>
    <xf numFmtId="0" fontId="11" fillId="0" borderId="0" xfId="3" applyFont="1" applyFill="1" applyProtection="1"/>
    <xf numFmtId="0" fontId="2" fillId="0" borderId="0" xfId="1" applyFill="1" applyProtection="1"/>
    <xf numFmtId="0" fontId="2" fillId="0" borderId="0" xfId="1" applyProtection="1">
      <protection locked="0"/>
    </xf>
    <xf numFmtId="0" fontId="11" fillId="0" borderId="0" xfId="3" applyFont="1" applyProtection="1"/>
    <xf numFmtId="0" fontId="13" fillId="0" borderId="0" xfId="1" applyFont="1" applyProtection="1"/>
    <xf numFmtId="37" fontId="2" fillId="0" borderId="0" xfId="1" applyNumberFormat="1" applyProtection="1"/>
    <xf numFmtId="37" fontId="13" fillId="0" borderId="0" xfId="1" applyNumberFormat="1" applyFont="1" applyProtection="1"/>
    <xf numFmtId="0" fontId="11" fillId="0" borderId="0" xfId="3" applyFont="1" applyAlignment="1" applyProtection="1"/>
    <xf numFmtId="172" fontId="2" fillId="0" borderId="0" xfId="1" applyNumberFormat="1" applyProtection="1"/>
    <xf numFmtId="0" fontId="10" fillId="5" borderId="0" xfId="3" applyFont="1" applyFill="1" applyBorder="1" applyAlignment="1" applyProtection="1">
      <alignment horizontal="left"/>
    </xf>
    <xf numFmtId="0" fontId="18" fillId="0" borderId="0" xfId="3" applyFont="1" applyProtection="1"/>
    <xf numFmtId="10" fontId="0" fillId="0" borderId="0" xfId="13" applyNumberFormat="1" applyFont="1" applyProtection="1"/>
    <xf numFmtId="2" fontId="9" fillId="5" borderId="4" xfId="3" applyNumberFormat="1" applyFont="1" applyFill="1" applyBorder="1" applyAlignment="1" applyProtection="1">
      <alignment horizontal="center" wrapText="1"/>
    </xf>
    <xf numFmtId="0" fontId="11" fillId="3" borderId="6" xfId="3" applyFont="1" applyFill="1" applyBorder="1" applyAlignment="1" applyProtection="1">
      <alignment horizontal="center" wrapText="1"/>
    </xf>
    <xf numFmtId="0" fontId="11" fillId="3" borderId="7" xfId="3" applyFont="1" applyFill="1" applyBorder="1" applyAlignment="1" applyProtection="1">
      <alignment horizontal="center" wrapText="1"/>
    </xf>
    <xf numFmtId="172" fontId="10" fillId="3" borderId="7" xfId="14" applyNumberFormat="1" applyFont="1" applyFill="1" applyBorder="1" applyAlignment="1" applyProtection="1">
      <alignment horizontal="center" wrapText="1"/>
    </xf>
    <xf numFmtId="172" fontId="10" fillId="3" borderId="8" xfId="14" applyNumberFormat="1" applyFont="1" applyFill="1" applyBorder="1" applyAlignment="1" applyProtection="1">
      <alignment horizontal="center" wrapText="1"/>
    </xf>
    <xf numFmtId="0" fontId="12" fillId="5" borderId="4" xfId="3" applyFont="1" applyFill="1" applyBorder="1" applyAlignment="1" applyProtection="1">
      <alignment wrapText="1"/>
    </xf>
    <xf numFmtId="0" fontId="12" fillId="5" borderId="5" xfId="3" applyFont="1" applyFill="1" applyBorder="1" applyAlignment="1" applyProtection="1">
      <alignment wrapText="1"/>
    </xf>
    <xf numFmtId="0" fontId="11" fillId="0" borderId="0" xfId="3" applyFont="1" applyAlignment="1" applyProtection="1">
      <alignment wrapText="1"/>
    </xf>
    <xf numFmtId="0" fontId="11" fillId="3" borderId="4" xfId="3" applyFont="1" applyFill="1" applyBorder="1" applyAlignment="1" applyProtection="1">
      <alignment horizontal="center"/>
    </xf>
    <xf numFmtId="3" fontId="10" fillId="3" borderId="12" xfId="14" applyNumberFormat="1" applyFont="1" applyFill="1" applyBorder="1" applyAlignment="1" applyProtection="1">
      <alignment horizontal="right"/>
    </xf>
    <xf numFmtId="174" fontId="11" fillId="3" borderId="2" xfId="3" applyNumberFormat="1" applyFont="1" applyFill="1" applyBorder="1" applyAlignment="1" applyProtection="1">
      <alignment horizontal="right"/>
    </xf>
    <xf numFmtId="3" fontId="11" fillId="3" borderId="2" xfId="3" applyNumberFormat="1" applyFont="1" applyFill="1" applyBorder="1" applyAlignment="1" applyProtection="1">
      <alignment horizontal="right" vertical="center" wrapText="1"/>
    </xf>
    <xf numFmtId="3" fontId="10" fillId="3" borderId="3" xfId="14" applyNumberFormat="1" applyFont="1" applyFill="1" applyBorder="1" applyAlignment="1" applyProtection="1">
      <alignment horizontal="right"/>
    </xf>
    <xf numFmtId="0" fontId="14" fillId="5" borderId="4" xfId="3" applyFont="1" applyFill="1" applyBorder="1" applyAlignment="1" applyProtection="1">
      <alignment vertical="center" wrapText="1"/>
    </xf>
    <xf numFmtId="3" fontId="10" fillId="3" borderId="4" xfId="14" applyNumberFormat="1" applyFont="1" applyFill="1" applyBorder="1" applyAlignment="1" applyProtection="1">
      <alignment horizontal="right"/>
    </xf>
    <xf numFmtId="174" fontId="11" fillId="3" borderId="0" xfId="3" applyNumberFormat="1" applyFont="1" applyFill="1" applyBorder="1" applyAlignment="1" applyProtection="1">
      <alignment horizontal="right"/>
    </xf>
    <xf numFmtId="3" fontId="11" fillId="3" borderId="0" xfId="3" applyNumberFormat="1" applyFont="1" applyFill="1" applyBorder="1" applyAlignment="1" applyProtection="1">
      <alignment horizontal="right" vertical="center" wrapText="1"/>
    </xf>
    <xf numFmtId="3" fontId="10" fillId="3" borderId="5" xfId="14" applyNumberFormat="1" applyFont="1" applyFill="1" applyBorder="1" applyAlignment="1" applyProtection="1">
      <alignment horizontal="right"/>
    </xf>
    <xf numFmtId="175" fontId="2" fillId="0" borderId="0" xfId="1" applyNumberFormat="1" applyProtection="1"/>
    <xf numFmtId="10" fontId="13" fillId="0" borderId="0" xfId="13" applyNumberFormat="1" applyFont="1" applyProtection="1"/>
    <xf numFmtId="0" fontId="11" fillId="3" borderId="9" xfId="3" applyFont="1" applyFill="1" applyBorder="1" applyAlignment="1" applyProtection="1">
      <alignment horizontal="center"/>
    </xf>
    <xf numFmtId="3" fontId="10" fillId="3" borderId="9" xfId="14" applyNumberFormat="1" applyFont="1" applyFill="1" applyBorder="1" applyAlignment="1" applyProtection="1">
      <alignment horizontal="right"/>
    </xf>
    <xf numFmtId="174" fontId="11" fillId="3" borderId="10" xfId="3" applyNumberFormat="1" applyFont="1" applyFill="1" applyBorder="1" applyAlignment="1" applyProtection="1">
      <alignment horizontal="right"/>
    </xf>
    <xf numFmtId="3" fontId="11" fillId="3" borderId="10" xfId="3" applyNumberFormat="1" applyFont="1" applyFill="1" applyBorder="1" applyAlignment="1" applyProtection="1">
      <alignment horizontal="right" vertical="center" wrapText="1"/>
    </xf>
    <xf numFmtId="3" fontId="10" fillId="3" borderId="11" xfId="14" applyNumberFormat="1" applyFont="1" applyFill="1" applyBorder="1" applyAlignment="1" applyProtection="1">
      <alignment horizontal="right"/>
    </xf>
    <xf numFmtId="0" fontId="11" fillId="4" borderId="0" xfId="3" applyFont="1" applyFill="1" applyBorder="1" applyAlignment="1" applyProtection="1">
      <alignment horizontal="center"/>
    </xf>
    <xf numFmtId="172" fontId="10" fillId="3" borderId="0" xfId="14" applyNumberFormat="1" applyFont="1" applyFill="1" applyBorder="1" applyAlignment="1" applyProtection="1">
      <alignment horizontal="center"/>
    </xf>
    <xf numFmtId="0" fontId="11" fillId="3" borderId="0" xfId="3" applyFont="1" applyFill="1" applyBorder="1" applyAlignment="1" applyProtection="1">
      <alignment horizontal="center"/>
    </xf>
    <xf numFmtId="9" fontId="10" fillId="3" borderId="13" xfId="15" applyFont="1" applyFill="1" applyBorder="1" applyProtection="1"/>
    <xf numFmtId="0" fontId="10" fillId="4" borderId="2" xfId="3" applyFont="1" applyFill="1" applyBorder="1" applyProtection="1"/>
    <xf numFmtId="0" fontId="10" fillId="4" borderId="3" xfId="3" applyFont="1" applyFill="1" applyBorder="1" applyProtection="1"/>
    <xf numFmtId="0" fontId="9" fillId="0" borderId="0" xfId="3" applyFont="1" applyProtection="1"/>
    <xf numFmtId="9" fontId="10" fillId="3" borderId="14" xfId="15" applyFont="1" applyFill="1" applyBorder="1" applyProtection="1"/>
    <xf numFmtId="0" fontId="10" fillId="4" borderId="5" xfId="3" applyFont="1" applyFill="1" applyBorder="1" applyProtection="1"/>
    <xf numFmtId="172" fontId="10" fillId="4" borderId="14" xfId="3" applyNumberFormat="1" applyFont="1" applyFill="1" applyBorder="1" applyProtection="1"/>
    <xf numFmtId="0" fontId="10" fillId="3" borderId="5" xfId="3" applyFont="1" applyFill="1" applyBorder="1" applyProtection="1"/>
    <xf numFmtId="172" fontId="10" fillId="4" borderId="15" xfId="3" applyNumberFormat="1" applyFont="1" applyFill="1" applyBorder="1" applyProtection="1"/>
    <xf numFmtId="0" fontId="10" fillId="4" borderId="10" xfId="3" applyFont="1" applyFill="1" applyBorder="1" applyProtection="1"/>
    <xf numFmtId="0" fontId="10" fillId="3" borderId="11" xfId="3" applyFont="1" applyFill="1" applyBorder="1" applyProtection="1"/>
    <xf numFmtId="0" fontId="10" fillId="7" borderId="0" xfId="3" applyFont="1" applyFill="1" applyBorder="1" applyAlignment="1" applyProtection="1">
      <alignment vertical="center"/>
    </xf>
    <xf numFmtId="0" fontId="10" fillId="7" borderId="5" xfId="3" applyFont="1" applyFill="1" applyBorder="1" applyAlignment="1" applyProtection="1">
      <alignment vertical="center"/>
    </xf>
    <xf numFmtId="170" fontId="2" fillId="0" borderId="0" xfId="1" applyNumberFormat="1" applyProtection="1"/>
    <xf numFmtId="0" fontId="10" fillId="5" borderId="0" xfId="3" applyFont="1" applyFill="1" applyBorder="1" applyAlignment="1" applyProtection="1">
      <alignment vertical="center"/>
    </xf>
    <xf numFmtId="0" fontId="10" fillId="5" borderId="5" xfId="3" applyFont="1" applyFill="1" applyBorder="1" applyAlignment="1" applyProtection="1">
      <alignment vertical="center"/>
    </xf>
    <xf numFmtId="0" fontId="10" fillId="3" borderId="0" xfId="3" applyFont="1" applyFill="1" applyProtection="1"/>
    <xf numFmtId="0" fontId="10" fillId="5" borderId="0" xfId="3" applyFont="1" applyFill="1" applyBorder="1" applyAlignment="1" applyProtection="1">
      <alignment horizontal="left" vertical="center" wrapText="1"/>
    </xf>
    <xf numFmtId="0" fontId="10" fillId="5" borderId="5" xfId="3" applyFont="1" applyFill="1" applyBorder="1" applyAlignment="1" applyProtection="1">
      <alignment horizontal="left" vertical="center" wrapText="1"/>
    </xf>
    <xf numFmtId="0" fontId="19" fillId="0" borderId="0" xfId="1" applyFont="1" applyAlignment="1" applyProtection="1">
      <alignment wrapText="1"/>
    </xf>
    <xf numFmtId="0" fontId="19" fillId="0" borderId="0" xfId="1" applyFont="1" applyProtection="1"/>
    <xf numFmtId="3" fontId="10" fillId="3" borderId="0" xfId="14" applyNumberFormat="1" applyFont="1" applyFill="1" applyBorder="1" applyAlignment="1" applyProtection="1">
      <alignment horizontal="right"/>
    </xf>
    <xf numFmtId="3" fontId="2" fillId="0" borderId="0" xfId="1" applyNumberFormat="1" applyProtection="1"/>
    <xf numFmtId="4" fontId="2" fillId="0" borderId="0" xfId="1" applyNumberFormat="1" applyProtection="1"/>
    <xf numFmtId="3" fontId="10" fillId="3" borderId="10" xfId="14" applyNumberFormat="1" applyFont="1" applyFill="1" applyBorder="1" applyAlignment="1" applyProtection="1">
      <alignment horizontal="right"/>
    </xf>
    <xf numFmtId="3" fontId="20" fillId="0" borderId="0" xfId="1" applyNumberFormat="1" applyFont="1" applyProtection="1"/>
    <xf numFmtId="4" fontId="20" fillId="0" borderId="0" xfId="1" applyNumberFormat="1" applyFont="1" applyProtection="1"/>
    <xf numFmtId="0" fontId="20" fillId="0" borderId="0" xfId="1" applyFont="1" applyProtection="1"/>
    <xf numFmtId="170" fontId="20" fillId="0" borderId="0" xfId="1" applyNumberFormat="1" applyFont="1" applyProtection="1"/>
    <xf numFmtId="176" fontId="2" fillId="6" borderId="0" xfId="1" applyNumberFormat="1" applyFill="1" applyProtection="1"/>
    <xf numFmtId="170" fontId="13" fillId="0" borderId="0" xfId="1" applyNumberFormat="1" applyFont="1" applyProtection="1"/>
    <xf numFmtId="10" fontId="2" fillId="0" borderId="0" xfId="1" applyNumberFormat="1" applyProtection="1"/>
    <xf numFmtId="0" fontId="2" fillId="0" borderId="0" xfId="16"/>
    <xf numFmtId="0" fontId="3" fillId="3" borderId="2" xfId="17" applyFont="1" applyFill="1" applyBorder="1" applyAlignment="1" applyProtection="1">
      <alignment horizontal="center"/>
    </xf>
    <xf numFmtId="0" fontId="11" fillId="3" borderId="2" xfId="18" applyFont="1" applyFill="1" applyBorder="1" applyProtection="1"/>
    <xf numFmtId="0" fontId="11" fillId="3" borderId="3" xfId="18" applyFont="1" applyFill="1" applyBorder="1" applyProtection="1"/>
    <xf numFmtId="0" fontId="8" fillId="4" borderId="4" xfId="18" applyFont="1" applyFill="1" applyBorder="1" applyAlignment="1" applyProtection="1">
      <alignment horizontal="center"/>
    </xf>
    <xf numFmtId="0" fontId="11" fillId="4" borderId="0" xfId="18" applyFont="1" applyFill="1" applyBorder="1" applyProtection="1"/>
    <xf numFmtId="0" fontId="11" fillId="4" borderId="5" xfId="18" applyFont="1" applyFill="1" applyBorder="1" applyProtection="1"/>
    <xf numFmtId="2" fontId="9" fillId="4" borderId="4" xfId="18" applyNumberFormat="1" applyFont="1" applyFill="1" applyBorder="1" applyAlignment="1" applyProtection="1">
      <alignment horizontal="center"/>
    </xf>
    <xf numFmtId="0" fontId="10" fillId="4" borderId="0" xfId="18" applyFont="1" applyFill="1" applyBorder="1" applyProtection="1"/>
    <xf numFmtId="0" fontId="11" fillId="4" borderId="12" xfId="18" applyFont="1" applyFill="1" applyBorder="1" applyAlignment="1" applyProtection="1">
      <alignment horizontal="center" vertical="center"/>
    </xf>
    <xf numFmtId="0" fontId="11" fillId="4" borderId="2" xfId="18" applyFont="1" applyFill="1" applyBorder="1" applyAlignment="1" applyProtection="1">
      <alignment horizontal="center" vertical="center"/>
    </xf>
    <xf numFmtId="0" fontId="3" fillId="4" borderId="0" xfId="18" applyFont="1" applyFill="1" applyBorder="1" applyAlignment="1" applyProtection="1">
      <alignment horizontal="centerContinuous"/>
    </xf>
    <xf numFmtId="0" fontId="11" fillId="4" borderId="9" xfId="18" applyFont="1" applyFill="1" applyBorder="1" applyAlignment="1" applyProtection="1">
      <alignment horizontal="center" vertical="center"/>
    </xf>
    <xf numFmtId="0" fontId="11" fillId="4" borderId="10" xfId="18" applyFont="1" applyFill="1" applyBorder="1" applyAlignment="1" applyProtection="1">
      <alignment horizontal="center" vertical="center"/>
    </xf>
    <xf numFmtId="0" fontId="11" fillId="4" borderId="10" xfId="18" applyFont="1" applyFill="1" applyBorder="1" applyAlignment="1" applyProtection="1">
      <alignment horizontal="center"/>
    </xf>
    <xf numFmtId="0" fontId="11" fillId="4" borderId="11" xfId="18" applyFont="1" applyFill="1" applyBorder="1" applyAlignment="1" applyProtection="1">
      <alignment horizontal="center"/>
    </xf>
    <xf numFmtId="0" fontId="3" fillId="4" borderId="0" xfId="18" applyFont="1" applyFill="1" applyBorder="1" applyAlignment="1" applyProtection="1">
      <alignment horizontal="center"/>
    </xf>
    <xf numFmtId="3" fontId="11" fillId="4" borderId="2" xfId="18" applyNumberFormat="1" applyFont="1" applyFill="1" applyBorder="1" applyAlignment="1" applyProtection="1">
      <alignment horizontal="center" vertical="center"/>
    </xf>
    <xf numFmtId="3" fontId="11" fillId="4" borderId="2" xfId="18" applyNumberFormat="1" applyFont="1" applyFill="1" applyBorder="1" applyAlignment="1" applyProtection="1">
      <alignment horizontal="right" vertical="center"/>
    </xf>
    <xf numFmtId="3" fontId="11" fillId="4" borderId="3" xfId="18" applyNumberFormat="1" applyFont="1" applyFill="1" applyBorder="1" applyAlignment="1" applyProtection="1">
      <alignment horizontal="right" vertical="center"/>
    </xf>
    <xf numFmtId="165" fontId="11" fillId="4" borderId="0" xfId="18" applyNumberFormat="1" applyFont="1" applyFill="1" applyBorder="1" applyAlignment="1" applyProtection="1">
      <alignment horizontal="center" vertical="center"/>
    </xf>
    <xf numFmtId="0" fontId="11" fillId="4" borderId="4" xfId="18" applyFont="1" applyFill="1" applyBorder="1" applyAlignment="1" applyProtection="1">
      <alignment horizontal="center" vertical="center"/>
    </xf>
    <xf numFmtId="3" fontId="11" fillId="4" borderId="0" xfId="18" applyNumberFormat="1" applyFont="1" applyFill="1" applyBorder="1" applyAlignment="1" applyProtection="1">
      <alignment horizontal="center" vertical="center"/>
    </xf>
    <xf numFmtId="3" fontId="11" fillId="4" borderId="0" xfId="18" applyNumberFormat="1" applyFont="1" applyFill="1" applyBorder="1" applyAlignment="1" applyProtection="1">
      <alignment horizontal="right" vertical="center"/>
    </xf>
    <xf numFmtId="3" fontId="11" fillId="4" borderId="5" xfId="18" applyNumberFormat="1" applyFont="1" applyFill="1" applyBorder="1" applyAlignment="1" applyProtection="1">
      <alignment horizontal="right" vertical="center"/>
    </xf>
    <xf numFmtId="3" fontId="11" fillId="4" borderId="10" xfId="18" applyNumberFormat="1" applyFont="1" applyFill="1" applyBorder="1" applyAlignment="1" applyProtection="1">
      <alignment horizontal="center" vertical="center"/>
    </xf>
    <xf numFmtId="3" fontId="11" fillId="4" borderId="10" xfId="18" applyNumberFormat="1" applyFont="1" applyFill="1" applyBorder="1" applyAlignment="1" applyProtection="1">
      <alignment horizontal="right" vertical="center"/>
    </xf>
    <xf numFmtId="3" fontId="11" fillId="4" borderId="11" xfId="18" applyNumberFormat="1" applyFont="1" applyFill="1" applyBorder="1" applyAlignment="1" applyProtection="1">
      <alignment horizontal="right" vertical="center"/>
    </xf>
    <xf numFmtId="0" fontId="11" fillId="4" borderId="0" xfId="18" applyFont="1" applyFill="1" applyBorder="1" applyAlignment="1" applyProtection="1">
      <alignment horizontal="center" vertical="center"/>
    </xf>
    <xf numFmtId="0" fontId="5" fillId="3" borderId="4" xfId="18" applyFont="1" applyFill="1" applyBorder="1" applyProtection="1"/>
    <xf numFmtId="0" fontId="5" fillId="3" borderId="0" xfId="18" applyFont="1" applyFill="1" applyBorder="1" applyProtection="1"/>
    <xf numFmtId="3" fontId="22" fillId="4" borderId="0" xfId="18" applyNumberFormat="1" applyFont="1" applyFill="1" applyBorder="1" applyAlignment="1" applyProtection="1">
      <alignment horizontal="center" vertical="center"/>
    </xf>
    <xf numFmtId="0" fontId="11" fillId="4" borderId="0" xfId="18" applyFont="1" applyFill="1" applyBorder="1" applyAlignment="1" applyProtection="1">
      <alignment horizontal="left" vertical="center"/>
    </xf>
    <xf numFmtId="0" fontId="11" fillId="4" borderId="0" xfId="18" applyFont="1" applyFill="1" applyBorder="1" applyAlignment="1" applyProtection="1">
      <alignment vertical="center"/>
    </xf>
    <xf numFmtId="2" fontId="9" fillId="4" borderId="9" xfId="18" applyNumberFormat="1" applyFont="1" applyFill="1" applyBorder="1" applyAlignment="1" applyProtection="1">
      <alignment horizontal="center"/>
    </xf>
    <xf numFmtId="0" fontId="11" fillId="4" borderId="10" xfId="18" applyFont="1" applyFill="1" applyBorder="1" applyAlignment="1" applyProtection="1">
      <alignment vertical="center"/>
    </xf>
    <xf numFmtId="0" fontId="11" fillId="4" borderId="10" xfId="18" applyFont="1" applyFill="1" applyBorder="1" applyProtection="1"/>
    <xf numFmtId="0" fontId="11" fillId="4" borderId="11" xfId="18" applyFont="1" applyFill="1" applyBorder="1" applyProtection="1"/>
    <xf numFmtId="177" fontId="11" fillId="0" borderId="0" xfId="5" applyNumberFormat="1" applyFont="1" applyProtection="1"/>
    <xf numFmtId="3" fontId="11" fillId="0" borderId="0" xfId="3" applyNumberFormat="1" applyFont="1" applyProtection="1"/>
    <xf numFmtId="170" fontId="11" fillId="0" borderId="0" xfId="3" applyNumberFormat="1" applyFont="1" applyProtection="1"/>
    <xf numFmtId="10" fontId="11" fillId="0" borderId="0" xfId="13" applyNumberFormat="1" applyFont="1" applyProtection="1"/>
    <xf numFmtId="10" fontId="11" fillId="0" borderId="0" xfId="3" applyNumberFormat="1" applyFont="1" applyProtection="1"/>
    <xf numFmtId="14" fontId="11" fillId="0" borderId="0" xfId="3" applyNumberFormat="1" applyFont="1" applyProtection="1"/>
    <xf numFmtId="170" fontId="11" fillId="0" borderId="0" xfId="5" applyFont="1" applyProtection="1"/>
    <xf numFmtId="9" fontId="13" fillId="0" borderId="0" xfId="13" applyFont="1" applyProtection="1"/>
    <xf numFmtId="9" fontId="13" fillId="0" borderId="0" xfId="1" applyNumberFormat="1" applyFont="1" applyProtection="1"/>
    <xf numFmtId="0" fontId="13" fillId="0" borderId="0" xfId="1" applyFont="1" applyAlignment="1" applyProtection="1">
      <alignment horizontal="right"/>
    </xf>
    <xf numFmtId="0" fontId="0" fillId="0" borderId="0" xfId="1" applyFont="1" applyProtection="1"/>
    <xf numFmtId="0" fontId="5" fillId="0" borderId="0" xfId="18" applyFont="1" applyProtection="1"/>
    <xf numFmtId="0" fontId="5" fillId="0" borderId="0" xfId="18" applyFont="1"/>
    <xf numFmtId="0" fontId="5" fillId="0" borderId="0" xfId="18" quotePrefix="1" applyFont="1" applyProtection="1"/>
    <xf numFmtId="0" fontId="11" fillId="5" borderId="6" xfId="3" applyFont="1" applyFill="1" applyBorder="1" applyAlignment="1" applyProtection="1">
      <alignment horizontal="centerContinuous" vertical="center" wrapText="1"/>
    </xf>
    <xf numFmtId="0" fontId="11" fillId="5" borderId="8" xfId="3" applyFont="1" applyFill="1" applyBorder="1" applyAlignment="1" applyProtection="1">
      <alignment horizontal="centerContinuous" wrapText="1"/>
    </xf>
    <xf numFmtId="0" fontId="11" fillId="5" borderId="6" xfId="3" applyFont="1" applyFill="1" applyBorder="1" applyAlignment="1" applyProtection="1">
      <alignment horizontal="center"/>
    </xf>
    <xf numFmtId="178" fontId="11" fillId="5" borderId="8" xfId="3" applyNumberFormat="1" applyFont="1" applyFill="1" applyBorder="1" applyAlignment="1" applyProtection="1">
      <alignment horizontal="center"/>
    </xf>
    <xf numFmtId="171" fontId="11" fillId="5" borderId="12" xfId="3" applyNumberFormat="1" applyFont="1" applyFill="1" applyBorder="1" applyAlignment="1" applyProtection="1">
      <alignment horizontal="center"/>
    </xf>
    <xf numFmtId="9" fontId="11" fillId="5" borderId="3" xfId="3" applyNumberFormat="1" applyFont="1" applyFill="1" applyBorder="1" applyAlignment="1" applyProtection="1">
      <alignment horizontal="center"/>
    </xf>
    <xf numFmtId="14" fontId="23" fillId="5" borderId="0" xfId="3" applyNumberFormat="1" applyFont="1" applyFill="1" applyBorder="1" applyAlignment="1" applyProtection="1">
      <alignment horizontal="center"/>
    </xf>
    <xf numFmtId="0" fontId="23" fillId="5" borderId="0" xfId="14" applyNumberFormat="1" applyFont="1" applyFill="1" applyBorder="1" applyAlignment="1" applyProtection="1">
      <alignment horizontal="center"/>
    </xf>
    <xf numFmtId="171" fontId="11" fillId="5" borderId="9" xfId="3" applyNumberFormat="1" applyFont="1" applyFill="1" applyBorder="1" applyAlignment="1" applyProtection="1">
      <alignment horizontal="center"/>
    </xf>
    <xf numFmtId="9" fontId="11" fillId="5" borderId="11" xfId="3" applyNumberFormat="1" applyFont="1" applyFill="1" applyBorder="1" applyAlignment="1" applyProtection="1">
      <alignment horizontal="center"/>
    </xf>
    <xf numFmtId="0" fontId="10" fillId="5" borderId="0" xfId="3" applyFont="1" applyFill="1" applyBorder="1" applyAlignment="1" applyProtection="1">
      <alignment horizontal="center"/>
    </xf>
    <xf numFmtId="179" fontId="5" fillId="0" borderId="0" xfId="19" applyNumberFormat="1" applyFont="1"/>
    <xf numFmtId="0" fontId="11" fillId="5" borderId="12" xfId="3" applyFont="1" applyFill="1" applyBorder="1" applyAlignment="1" applyProtection="1">
      <alignment horizontal="center"/>
    </xf>
    <xf numFmtId="0" fontId="11" fillId="5" borderId="2" xfId="3" applyFont="1" applyFill="1" applyBorder="1" applyAlignment="1" applyProtection="1">
      <alignment horizontal="center"/>
    </xf>
    <xf numFmtId="0" fontId="11" fillId="5" borderId="3" xfId="3" applyFont="1" applyFill="1" applyBorder="1" applyAlignment="1" applyProtection="1">
      <alignment horizontal="center"/>
    </xf>
    <xf numFmtId="3" fontId="12" fillId="5" borderId="0" xfId="3" applyNumberFormat="1" applyFont="1" applyFill="1" applyBorder="1" applyAlignment="1" applyProtection="1">
      <alignment horizontal="right" vertical="center" wrapText="1"/>
    </xf>
    <xf numFmtId="0" fontId="11" fillId="5" borderId="9" xfId="3" applyFont="1" applyFill="1" applyBorder="1" applyAlignment="1" applyProtection="1">
      <alignment horizontal="center"/>
    </xf>
    <xf numFmtId="164" fontId="11" fillId="5" borderId="10" xfId="3" applyNumberFormat="1" applyFont="1" applyFill="1" applyBorder="1" applyAlignment="1" applyProtection="1">
      <alignment horizontal="center"/>
    </xf>
    <xf numFmtId="164" fontId="11" fillId="5" borderId="11" xfId="3" applyNumberFormat="1" applyFont="1" applyFill="1" applyBorder="1" applyAlignment="1" applyProtection="1">
      <alignment horizontal="center"/>
    </xf>
    <xf numFmtId="3" fontId="5" fillId="0" borderId="0" xfId="18" applyNumberFormat="1" applyFont="1" applyProtection="1"/>
    <xf numFmtId="164" fontId="5" fillId="0" borderId="0" xfId="18" applyNumberFormat="1" applyFont="1" applyProtection="1"/>
    <xf numFmtId="164" fontId="5" fillId="0" borderId="16" xfId="18" applyNumberFormat="1" applyFont="1" applyBorder="1" applyProtection="1"/>
    <xf numFmtId="164" fontId="5" fillId="0" borderId="17" xfId="18" applyNumberFormat="1" applyFont="1" applyBorder="1" applyProtection="1"/>
    <xf numFmtId="0" fontId="11" fillId="5" borderId="12" xfId="20" applyFont="1" applyFill="1" applyBorder="1" applyAlignment="1" applyProtection="1">
      <alignment horizontal="centerContinuous" vertical="center" wrapText="1"/>
    </xf>
    <xf numFmtId="0" fontId="11" fillId="5" borderId="2" xfId="20" applyFont="1" applyFill="1" applyBorder="1" applyAlignment="1" applyProtection="1">
      <alignment horizontal="centerContinuous" vertical="center" wrapText="1"/>
    </xf>
    <xf numFmtId="0" fontId="11" fillId="5" borderId="3" xfId="20" applyFont="1" applyFill="1" applyBorder="1" applyAlignment="1" applyProtection="1">
      <alignment horizontal="centerContinuous" vertical="center" wrapText="1"/>
    </xf>
    <xf numFmtId="164" fontId="5" fillId="0" borderId="18" xfId="18" applyNumberFormat="1" applyFont="1" applyBorder="1" applyProtection="1"/>
    <xf numFmtId="0" fontId="11" fillId="5" borderId="9" xfId="20" applyFont="1" applyFill="1" applyBorder="1" applyAlignment="1" applyProtection="1">
      <alignment horizontal="center" vertical="center" wrapText="1"/>
    </xf>
    <xf numFmtId="0" fontId="11" fillId="5" borderId="10" xfId="20" applyFont="1" applyFill="1" applyBorder="1" applyAlignment="1" applyProtection="1">
      <alignment horizontal="center" vertical="center" wrapText="1"/>
    </xf>
    <xf numFmtId="0" fontId="11" fillId="5" borderId="11" xfId="20" applyFont="1" applyFill="1" applyBorder="1" applyAlignment="1" applyProtection="1">
      <alignment horizontal="center" vertical="center" wrapText="1"/>
    </xf>
    <xf numFmtId="179" fontId="5" fillId="0" borderId="0" xfId="19" applyNumberFormat="1" applyFont="1" applyProtection="1"/>
    <xf numFmtId="0" fontId="11" fillId="5" borderId="4" xfId="20" applyFont="1" applyFill="1" applyBorder="1" applyAlignment="1" applyProtection="1">
      <alignment horizontal="center" vertical="center" wrapText="1"/>
    </xf>
    <xf numFmtId="3" fontId="11" fillId="5" borderId="0" xfId="20" applyNumberFormat="1" applyFont="1" applyFill="1" applyBorder="1" applyAlignment="1" applyProtection="1">
      <alignment horizontal="right" vertical="center" wrapText="1"/>
    </xf>
    <xf numFmtId="3" fontId="11" fillId="5" borderId="5" xfId="20" applyNumberFormat="1" applyFont="1" applyFill="1" applyBorder="1" applyAlignment="1" applyProtection="1">
      <alignment horizontal="right" vertical="center" wrapText="1"/>
    </xf>
    <xf numFmtId="3" fontId="11" fillId="5" borderId="5" xfId="20" applyNumberFormat="1" applyFont="1" applyFill="1" applyBorder="1" applyAlignment="1" applyProtection="1">
      <alignment vertical="center" wrapText="1"/>
    </xf>
    <xf numFmtId="3" fontId="11" fillId="5" borderId="10" xfId="20" applyNumberFormat="1" applyFont="1" applyFill="1" applyBorder="1" applyAlignment="1" applyProtection="1">
      <alignment horizontal="right" vertical="center" wrapText="1"/>
    </xf>
    <xf numFmtId="3" fontId="11" fillId="5" borderId="10" xfId="20" applyNumberFormat="1" applyFont="1" applyFill="1" applyBorder="1" applyAlignment="1" applyProtection="1">
      <alignment vertical="center" wrapText="1"/>
    </xf>
    <xf numFmtId="3" fontId="11" fillId="5" borderId="11" xfId="20" applyNumberFormat="1" applyFont="1" applyFill="1" applyBorder="1" applyAlignment="1" applyProtection="1">
      <alignment vertical="center" wrapText="1"/>
    </xf>
    <xf numFmtId="9" fontId="11" fillId="5" borderId="13" xfId="21" applyNumberFormat="1" applyFont="1" applyFill="1" applyBorder="1" applyAlignment="1" applyProtection="1">
      <alignment horizontal="right"/>
    </xf>
    <xf numFmtId="14" fontId="11" fillId="5" borderId="12" xfId="3" applyNumberFormat="1" applyFont="1" applyFill="1" applyBorder="1" applyAlignment="1" applyProtection="1"/>
    <xf numFmtId="14" fontId="23" fillId="5" borderId="2" xfId="3" applyNumberFormat="1" applyFont="1" applyFill="1" applyBorder="1" applyAlignment="1" applyProtection="1">
      <alignment horizontal="center"/>
    </xf>
    <xf numFmtId="14" fontId="23" fillId="5" borderId="3" xfId="3" applyNumberFormat="1" applyFont="1" applyFill="1" applyBorder="1" applyAlignment="1" applyProtection="1">
      <alignment horizontal="center"/>
    </xf>
    <xf numFmtId="9" fontId="11" fillId="5" borderId="14" xfId="21" applyNumberFormat="1" applyFont="1" applyFill="1" applyBorder="1" applyAlignment="1" applyProtection="1">
      <alignment horizontal="right"/>
    </xf>
    <xf numFmtId="14" fontId="11" fillId="5" borderId="4" xfId="3" applyNumberFormat="1" applyFont="1" applyFill="1" applyBorder="1" applyAlignment="1" applyProtection="1"/>
    <xf numFmtId="14" fontId="23" fillId="5" borderId="5" xfId="3" applyNumberFormat="1" applyFont="1" applyFill="1" applyBorder="1" applyAlignment="1" applyProtection="1">
      <alignment horizontal="center"/>
    </xf>
    <xf numFmtId="180" fontId="5" fillId="0" borderId="0" xfId="18" applyNumberFormat="1" applyFont="1" applyProtection="1"/>
    <xf numFmtId="9" fontId="11" fillId="5" borderId="15" xfId="21" applyNumberFormat="1" applyFont="1" applyFill="1" applyBorder="1" applyAlignment="1" applyProtection="1">
      <alignment horizontal="right" vertical="top"/>
    </xf>
    <xf numFmtId="14" fontId="11" fillId="5" borderId="9" xfId="3" applyNumberFormat="1" applyFont="1" applyFill="1" applyBorder="1" applyAlignment="1" applyProtection="1">
      <alignment vertical="center"/>
    </xf>
    <xf numFmtId="14" fontId="11" fillId="5" borderId="10" xfId="3" applyNumberFormat="1" applyFont="1" applyFill="1" applyBorder="1" applyAlignment="1" applyProtection="1">
      <alignment vertical="center" wrapText="1"/>
    </xf>
    <xf numFmtId="14" fontId="11" fillId="5" borderId="11" xfId="3" applyNumberFormat="1" applyFont="1" applyFill="1" applyBorder="1" applyAlignment="1" applyProtection="1">
      <alignment vertical="center" wrapText="1"/>
    </xf>
    <xf numFmtId="10" fontId="5" fillId="0" borderId="0" xfId="18" applyNumberFormat="1" applyFont="1" applyProtection="1"/>
    <xf numFmtId="181" fontId="5" fillId="0" borderId="0" xfId="18" applyNumberFormat="1" applyFont="1" applyProtection="1"/>
    <xf numFmtId="182" fontId="11" fillId="0" borderId="0" xfId="3" applyNumberFormat="1" applyFont="1" applyProtection="1"/>
    <xf numFmtId="3" fontId="15" fillId="5" borderId="0" xfId="3" applyNumberFormat="1" applyFont="1" applyFill="1" applyBorder="1" applyAlignment="1" applyProtection="1">
      <alignment horizontal="right" vertical="center" wrapText="1"/>
    </xf>
    <xf numFmtId="0" fontId="10" fillId="5" borderId="10" xfId="3" applyFont="1" applyFill="1" applyBorder="1" applyProtection="1"/>
    <xf numFmtId="0" fontId="10" fillId="5" borderId="10" xfId="3" applyFont="1" applyFill="1" applyBorder="1" applyAlignment="1" applyProtection="1"/>
    <xf numFmtId="0" fontId="10" fillId="5" borderId="11" xfId="3" applyFont="1" applyFill="1" applyBorder="1" applyAlignment="1" applyProtection="1"/>
    <xf numFmtId="0" fontId="9" fillId="0" borderId="0" xfId="18" applyFont="1" applyProtection="1"/>
    <xf numFmtId="9" fontId="5" fillId="0" borderId="19" xfId="18" applyNumberFormat="1" applyFont="1" applyBorder="1" applyProtection="1"/>
    <xf numFmtId="0" fontId="9" fillId="0" borderId="0" xfId="18" applyFont="1" applyProtection="1">
      <protection locked="0"/>
    </xf>
    <xf numFmtId="0" fontId="5" fillId="0" borderId="0" xfId="18" applyFont="1" applyProtection="1">
      <protection locked="0"/>
    </xf>
    <xf numFmtId="0" fontId="5" fillId="0" borderId="0" xfId="18" applyFont="1" applyAlignment="1" applyProtection="1">
      <alignment horizontal="center"/>
    </xf>
    <xf numFmtId="0" fontId="5" fillId="0" borderId="0" xfId="18" applyFont="1" applyBorder="1" applyAlignment="1" applyProtection="1">
      <alignment horizontal="center"/>
    </xf>
    <xf numFmtId="0" fontId="5" fillId="0" borderId="0" xfId="18" applyNumberFormat="1" applyFont="1" applyBorder="1" applyProtection="1"/>
    <xf numFmtId="0" fontId="5" fillId="0" borderId="20" xfId="18" applyFont="1" applyBorder="1" applyAlignment="1" applyProtection="1">
      <alignment horizontal="center"/>
    </xf>
    <xf numFmtId="0" fontId="5" fillId="0" borderId="20" xfId="18" applyNumberFormat="1" applyFont="1" applyBorder="1" applyProtection="1"/>
    <xf numFmtId="0" fontId="5" fillId="0" borderId="0" xfId="18" applyNumberFormat="1" applyFont="1" applyProtection="1"/>
    <xf numFmtId="166" fontId="5" fillId="0" borderId="0" xfId="18" applyNumberFormat="1" applyFont="1" applyProtection="1"/>
    <xf numFmtId="0" fontId="24" fillId="0" borderId="0" xfId="18" applyFont="1" applyProtection="1"/>
    <xf numFmtId="0" fontId="5" fillId="0" borderId="0" xfId="18" applyFont="1" applyAlignment="1">
      <alignment horizontal="center" vertical="center" wrapText="1"/>
    </xf>
    <xf numFmtId="0" fontId="9" fillId="0" borderId="0" xfId="18" applyFont="1" applyAlignment="1" applyProtection="1">
      <alignment horizontal="center" vertical="center" wrapText="1"/>
    </xf>
    <xf numFmtId="0" fontId="5" fillId="0" borderId="0" xfId="18" applyFont="1" applyAlignment="1" applyProtection="1">
      <alignment horizontal="center" vertical="center" wrapText="1"/>
    </xf>
    <xf numFmtId="14" fontId="5" fillId="0" borderId="0" xfId="18" applyNumberFormat="1" applyFont="1" applyProtection="1"/>
    <xf numFmtId="9" fontId="5" fillId="0" borderId="0" xfId="18" applyNumberFormat="1" applyFont="1" applyProtection="1"/>
    <xf numFmtId="0" fontId="5" fillId="0" borderId="0" xfId="18" applyFont="1" applyBorder="1" applyProtection="1"/>
    <xf numFmtId="164" fontId="11" fillId="5" borderId="0" xfId="3" applyNumberFormat="1" applyFont="1" applyFill="1" applyBorder="1" applyAlignment="1" applyProtection="1">
      <alignment horizontal="center"/>
    </xf>
    <xf numFmtId="177" fontId="5" fillId="0" borderId="0" xfId="5" applyNumberFormat="1" applyFont="1" applyProtection="1"/>
    <xf numFmtId="179" fontId="5" fillId="0" borderId="0" xfId="19" applyNumberFormat="1" applyFont="1" applyBorder="1" applyProtection="1"/>
    <xf numFmtId="183" fontId="5" fillId="0" borderId="0" xfId="5" applyNumberFormat="1" applyFont="1" applyProtection="1"/>
    <xf numFmtId="179" fontId="11" fillId="0" borderId="0" xfId="19" applyNumberFormat="1" applyFont="1" applyProtection="1"/>
    <xf numFmtId="0" fontId="11" fillId="3" borderId="2" xfId="3" applyFont="1" applyFill="1" applyBorder="1" applyProtection="1"/>
    <xf numFmtId="0" fontId="11" fillId="3" borderId="3" xfId="3" applyFont="1" applyFill="1" applyBorder="1" applyProtection="1"/>
    <xf numFmtId="0" fontId="11" fillId="5" borderId="0" xfId="3" applyFont="1" applyFill="1" applyBorder="1" applyProtection="1"/>
    <xf numFmtId="0" fontId="11" fillId="5" borderId="5" xfId="3" applyFont="1" applyFill="1" applyBorder="1" applyProtection="1"/>
    <xf numFmtId="0" fontId="11" fillId="5" borderId="0" xfId="3" applyFont="1" applyFill="1" applyBorder="1" applyAlignment="1" applyProtection="1">
      <alignment horizontal="left" vertical="center"/>
    </xf>
    <xf numFmtId="0" fontId="11" fillId="5" borderId="5" xfId="3" applyFont="1" applyFill="1" applyBorder="1" applyAlignment="1" applyProtection="1">
      <alignment horizontal="left" vertical="center"/>
    </xf>
    <xf numFmtId="0" fontId="11" fillId="5" borderId="10" xfId="3" applyFont="1" applyFill="1" applyBorder="1" applyProtection="1"/>
    <xf numFmtId="0" fontId="11" fillId="5" borderId="11" xfId="3" applyFont="1" applyFill="1" applyBorder="1" applyProtection="1"/>
    <xf numFmtId="0" fontId="5" fillId="8" borderId="0" xfId="18" applyFont="1" applyFill="1" applyProtection="1"/>
    <xf numFmtId="0" fontId="11" fillId="5" borderId="12" xfId="3" applyFont="1" applyFill="1" applyBorder="1" applyAlignment="1" applyProtection="1">
      <alignment horizontal="center" vertical="center"/>
    </xf>
    <xf numFmtId="0" fontId="11" fillId="5" borderId="2" xfId="3" applyFont="1" applyFill="1" applyBorder="1" applyAlignment="1" applyProtection="1">
      <alignment horizontal="center" vertical="center"/>
    </xf>
    <xf numFmtId="0" fontId="11" fillId="5" borderId="3" xfId="3" applyFont="1" applyFill="1" applyBorder="1" applyAlignment="1" applyProtection="1">
      <alignment horizontal="center" vertical="center"/>
    </xf>
    <xf numFmtId="0" fontId="11" fillId="5" borderId="4" xfId="3" applyFont="1" applyFill="1" applyBorder="1" applyAlignment="1" applyProtection="1">
      <alignment horizontal="center" vertical="center"/>
    </xf>
    <xf numFmtId="0" fontId="11" fillId="5" borderId="0" xfId="3" applyFont="1" applyFill="1" applyBorder="1" applyAlignment="1" applyProtection="1">
      <alignment horizontal="center" vertical="center"/>
    </xf>
    <xf numFmtId="0" fontId="11" fillId="5" borderId="5" xfId="3" applyFont="1" applyFill="1" applyBorder="1" applyAlignment="1" applyProtection="1">
      <alignment horizontal="center" vertical="center"/>
    </xf>
    <xf numFmtId="0" fontId="11" fillId="5" borderId="9" xfId="3" applyFont="1" applyFill="1" applyBorder="1" applyAlignment="1" applyProtection="1">
      <alignment horizontal="center" vertical="center"/>
    </xf>
    <xf numFmtId="0" fontId="11" fillId="5" borderId="10" xfId="3" applyFont="1" applyFill="1" applyBorder="1" applyAlignment="1" applyProtection="1">
      <alignment horizontal="center" vertical="center"/>
    </xf>
    <xf numFmtId="0" fontId="11" fillId="5" borderId="10" xfId="3" quotePrefix="1" applyFont="1" applyFill="1" applyBorder="1" applyAlignment="1" applyProtection="1">
      <alignment horizontal="center" vertical="center"/>
    </xf>
    <xf numFmtId="0" fontId="11" fillId="5" borderId="11" xfId="3" quotePrefix="1" applyFont="1" applyFill="1" applyBorder="1" applyAlignment="1" applyProtection="1">
      <alignment horizontal="center" vertical="center"/>
    </xf>
    <xf numFmtId="0" fontId="11" fillId="5" borderId="12" xfId="3" applyFont="1" applyFill="1" applyBorder="1" applyAlignment="1" applyProtection="1">
      <alignment horizontal="center" vertical="center" wrapText="1"/>
    </xf>
    <xf numFmtId="184" fontId="11" fillId="5" borderId="2" xfId="3" applyNumberFormat="1" applyFont="1" applyFill="1" applyBorder="1" applyAlignment="1" applyProtection="1">
      <alignment horizontal="right" vertical="center" wrapText="1"/>
    </xf>
    <xf numFmtId="174" fontId="11" fillId="5" borderId="2" xfId="3" applyNumberFormat="1" applyFont="1" applyFill="1" applyBorder="1" applyAlignment="1" applyProtection="1">
      <alignment horizontal="right" vertical="center" wrapText="1"/>
    </xf>
    <xf numFmtId="179" fontId="11" fillId="5" borderId="2" xfId="3" applyNumberFormat="1" applyFont="1" applyFill="1" applyBorder="1" applyAlignment="1" applyProtection="1">
      <alignment horizontal="right" vertical="center" wrapText="1"/>
    </xf>
    <xf numFmtId="2" fontId="11" fillId="5" borderId="2" xfId="3" applyNumberFormat="1" applyFont="1" applyFill="1" applyBorder="1" applyAlignment="1" applyProtection="1">
      <alignment horizontal="right" vertical="center" wrapText="1"/>
    </xf>
    <xf numFmtId="179" fontId="10" fillId="7" borderId="2" xfId="15" applyNumberFormat="1" applyFont="1" applyFill="1" applyBorder="1" applyAlignment="1" applyProtection="1">
      <alignment horizontal="right"/>
    </xf>
    <xf numFmtId="179" fontId="10" fillId="7" borderId="3" xfId="15" applyNumberFormat="1" applyFont="1" applyFill="1" applyBorder="1" applyAlignment="1" applyProtection="1">
      <alignment horizontal="right"/>
    </xf>
    <xf numFmtId="179" fontId="10" fillId="7" borderId="5" xfId="15" applyNumberFormat="1" applyFont="1" applyFill="1" applyBorder="1" applyAlignment="1" applyProtection="1">
      <alignment horizontal="right"/>
    </xf>
    <xf numFmtId="0" fontId="11" fillId="5" borderId="4" xfId="3" applyFont="1" applyFill="1" applyBorder="1" applyAlignment="1" applyProtection="1">
      <alignment horizontal="center" vertical="center" wrapText="1"/>
    </xf>
    <xf numFmtId="184" fontId="11" fillId="5" borderId="0" xfId="3" applyNumberFormat="1" applyFont="1" applyFill="1" applyBorder="1" applyAlignment="1" applyProtection="1">
      <alignment horizontal="right" vertical="center" wrapText="1"/>
    </xf>
    <xf numFmtId="174" fontId="11" fillId="5" borderId="0" xfId="3" applyNumberFormat="1" applyFont="1" applyFill="1" applyBorder="1" applyAlignment="1" applyProtection="1">
      <alignment horizontal="right" vertical="center" wrapText="1"/>
    </xf>
    <xf numFmtId="179" fontId="11" fillId="5" borderId="0" xfId="3" applyNumberFormat="1" applyFont="1" applyFill="1" applyBorder="1" applyAlignment="1" applyProtection="1">
      <alignment horizontal="right" vertical="center" wrapText="1"/>
    </xf>
    <xf numFmtId="2" fontId="11" fillId="5" borderId="0" xfId="3" applyNumberFormat="1" applyFont="1" applyFill="1" applyBorder="1" applyAlignment="1" applyProtection="1">
      <alignment horizontal="right" vertical="center" wrapText="1"/>
    </xf>
    <xf numFmtId="179" fontId="10" fillId="7" borderId="0" xfId="15" applyNumberFormat="1" applyFont="1" applyFill="1" applyBorder="1" applyAlignment="1" applyProtection="1">
      <alignment horizontal="right"/>
    </xf>
    <xf numFmtId="0" fontId="11" fillId="5" borderId="9" xfId="3" applyFont="1" applyFill="1" applyBorder="1" applyAlignment="1" applyProtection="1">
      <alignment horizontal="center" vertical="center" wrapText="1"/>
    </xf>
    <xf numFmtId="184" fontId="11" fillId="5" borderId="10" xfId="3" applyNumberFormat="1" applyFont="1" applyFill="1" applyBorder="1" applyAlignment="1" applyProtection="1">
      <alignment horizontal="right" vertical="center" wrapText="1"/>
    </xf>
    <xf numFmtId="174" fontId="11" fillId="5" borderId="10" xfId="3" applyNumberFormat="1" applyFont="1" applyFill="1" applyBorder="1" applyAlignment="1" applyProtection="1">
      <alignment horizontal="right" vertical="center" wrapText="1"/>
    </xf>
    <xf numFmtId="179" fontId="11" fillId="5" borderId="10" xfId="3" applyNumberFormat="1" applyFont="1" applyFill="1" applyBorder="1" applyAlignment="1" applyProtection="1">
      <alignment horizontal="right" vertical="center" wrapText="1"/>
    </xf>
    <xf numFmtId="2" fontId="11" fillId="5" borderId="10" xfId="3" applyNumberFormat="1" applyFont="1" applyFill="1" applyBorder="1" applyAlignment="1" applyProtection="1">
      <alignment horizontal="right" vertical="center" wrapText="1"/>
    </xf>
    <xf numFmtId="179" fontId="10" fillId="7" borderId="10" xfId="15" applyNumberFormat="1" applyFont="1" applyFill="1" applyBorder="1" applyAlignment="1" applyProtection="1">
      <alignment horizontal="right"/>
    </xf>
    <xf numFmtId="179" fontId="10" fillId="7" borderId="11" xfId="15" applyNumberFormat="1" applyFont="1" applyFill="1" applyBorder="1" applyAlignment="1" applyProtection="1">
      <alignment horizontal="right"/>
    </xf>
    <xf numFmtId="0" fontId="11" fillId="5" borderId="0" xfId="3" applyFont="1" applyFill="1" applyBorder="1" applyAlignment="1" applyProtection="1">
      <alignment horizontal="center" vertical="center" wrapText="1"/>
    </xf>
    <xf numFmtId="0" fontId="11" fillId="5" borderId="4" xfId="3" applyFont="1" applyFill="1" applyBorder="1" applyProtection="1"/>
    <xf numFmtId="0" fontId="11" fillId="5" borderId="10" xfId="3" applyFont="1" applyFill="1" applyBorder="1" applyAlignment="1" applyProtection="1">
      <alignment vertical="center"/>
    </xf>
    <xf numFmtId="0" fontId="5" fillId="0" borderId="0" xfId="18" applyFont="1" applyFill="1" applyProtection="1"/>
    <xf numFmtId="0" fontId="11" fillId="0" borderId="0" xfId="18" applyFont="1" applyProtection="1"/>
    <xf numFmtId="0" fontId="25" fillId="0" borderId="0" xfId="18" applyFont="1" applyProtection="1">
      <protection locked="0"/>
    </xf>
    <xf numFmtId="0" fontId="25" fillId="0" borderId="0" xfId="18" applyFont="1"/>
    <xf numFmtId="0" fontId="26" fillId="0" borderId="1" xfId="1" applyFont="1" applyBorder="1" applyAlignment="1" applyProtection="1">
      <alignment horizontal="center"/>
    </xf>
    <xf numFmtId="0" fontId="26" fillId="0" borderId="1" xfId="2" applyFont="1" applyBorder="1" applyAlignment="1" applyProtection="1">
      <alignment horizontal="center"/>
    </xf>
    <xf numFmtId="0" fontId="27" fillId="3" borderId="2" xfId="3" applyFont="1" applyFill="1" applyBorder="1" applyProtection="1"/>
    <xf numFmtId="0" fontId="27" fillId="3" borderId="3" xfId="3" applyFont="1" applyFill="1" applyBorder="1" applyProtection="1"/>
    <xf numFmtId="0" fontId="25" fillId="0" borderId="0" xfId="18" applyFont="1" applyProtection="1"/>
    <xf numFmtId="0" fontId="28" fillId="5" borderId="4" xfId="3" applyFont="1" applyFill="1" applyBorder="1" applyAlignment="1" applyProtection="1">
      <alignment horizontal="center"/>
    </xf>
    <xf numFmtId="0" fontId="27" fillId="5" borderId="0" xfId="3" applyFont="1" applyFill="1" applyBorder="1" applyProtection="1"/>
    <xf numFmtId="0" fontId="27" fillId="5" borderId="5" xfId="3" applyFont="1" applyFill="1" applyBorder="1" applyProtection="1"/>
    <xf numFmtId="2" fontId="29" fillId="5" borderId="4" xfId="3" applyNumberFormat="1" applyFont="1" applyFill="1" applyBorder="1" applyAlignment="1" applyProtection="1">
      <alignment horizontal="center"/>
    </xf>
    <xf numFmtId="0" fontId="30" fillId="5" borderId="0" xfId="3" applyFont="1" applyFill="1" applyBorder="1" applyProtection="1"/>
    <xf numFmtId="0" fontId="27" fillId="5" borderId="0" xfId="3" applyFont="1" applyFill="1" applyBorder="1" applyAlignment="1" applyProtection="1">
      <alignment horizontal="left" vertical="center"/>
    </xf>
    <xf numFmtId="0" fontId="27" fillId="5" borderId="5" xfId="3" applyFont="1" applyFill="1" applyBorder="1" applyAlignment="1" applyProtection="1">
      <alignment horizontal="left" vertical="center"/>
    </xf>
    <xf numFmtId="0" fontId="27" fillId="5" borderId="12" xfId="3" applyFont="1" applyFill="1" applyBorder="1" applyAlignment="1" applyProtection="1">
      <alignment horizontal="center" vertical="center"/>
    </xf>
    <xf numFmtId="0" fontId="27" fillId="5" borderId="2" xfId="3" applyFont="1" applyFill="1" applyBorder="1" applyAlignment="1" applyProtection="1">
      <alignment horizontal="center" vertical="center"/>
    </xf>
    <xf numFmtId="0" fontId="27" fillId="5" borderId="3" xfId="3" applyFont="1" applyFill="1" applyBorder="1" applyAlignment="1" applyProtection="1">
      <alignment horizontal="center" vertical="center"/>
    </xf>
    <xf numFmtId="0" fontId="27" fillId="5" borderId="4" xfId="3" applyFont="1" applyFill="1" applyBorder="1" applyAlignment="1" applyProtection="1">
      <alignment horizontal="center" vertical="center"/>
    </xf>
    <xf numFmtId="0" fontId="27" fillId="5" borderId="0" xfId="3" applyFont="1" applyFill="1" applyBorder="1" applyAlignment="1" applyProtection="1">
      <alignment horizontal="center" vertical="center"/>
    </xf>
    <xf numFmtId="0" fontId="27" fillId="5" borderId="5" xfId="3" applyFont="1" applyFill="1" applyBorder="1" applyAlignment="1" applyProtection="1">
      <alignment horizontal="center" vertical="center"/>
    </xf>
    <xf numFmtId="0" fontId="27" fillId="5" borderId="9" xfId="3" applyFont="1" applyFill="1" applyBorder="1" applyAlignment="1" applyProtection="1">
      <alignment horizontal="center" vertical="center"/>
    </xf>
    <xf numFmtId="0" fontId="27" fillId="5" borderId="10" xfId="3" applyFont="1" applyFill="1" applyBorder="1" applyAlignment="1" applyProtection="1">
      <alignment horizontal="center" vertical="center"/>
    </xf>
    <xf numFmtId="0" fontId="27" fillId="5" borderId="10" xfId="3" quotePrefix="1" applyFont="1" applyFill="1" applyBorder="1" applyAlignment="1" applyProtection="1">
      <alignment horizontal="center" vertical="center"/>
    </xf>
    <xf numFmtId="0" fontId="27" fillId="5" borderId="11" xfId="3" quotePrefix="1" applyFont="1" applyFill="1" applyBorder="1" applyAlignment="1" applyProtection="1">
      <alignment horizontal="center" vertical="center"/>
    </xf>
    <xf numFmtId="0" fontId="27" fillId="5" borderId="12" xfId="3" applyFont="1" applyFill="1" applyBorder="1" applyAlignment="1" applyProtection="1">
      <alignment horizontal="center" vertical="center" wrapText="1"/>
    </xf>
    <xf numFmtId="184" fontId="27" fillId="5" borderId="2" xfId="3" applyNumberFormat="1" applyFont="1" applyFill="1" applyBorder="1" applyAlignment="1" applyProtection="1">
      <alignment horizontal="right" vertical="center" wrapText="1"/>
    </xf>
    <xf numFmtId="174" fontId="27" fillId="5" borderId="2" xfId="3" applyNumberFormat="1" applyFont="1" applyFill="1" applyBorder="1" applyAlignment="1" applyProtection="1">
      <alignment horizontal="right" vertical="center" wrapText="1"/>
    </xf>
    <xf numFmtId="179" fontId="27" fillId="5" borderId="2" xfId="3" applyNumberFormat="1" applyFont="1" applyFill="1" applyBorder="1" applyAlignment="1" applyProtection="1">
      <alignment horizontal="right" vertical="center" wrapText="1"/>
    </xf>
    <xf numFmtId="2" fontId="27" fillId="5" borderId="2" xfId="3" applyNumberFormat="1" applyFont="1" applyFill="1" applyBorder="1" applyAlignment="1" applyProtection="1">
      <alignment horizontal="right" vertical="center" wrapText="1"/>
    </xf>
    <xf numFmtId="179" fontId="30" fillId="7" borderId="2" xfId="15" applyNumberFormat="1" applyFont="1" applyFill="1" applyBorder="1" applyAlignment="1" applyProtection="1">
      <alignment horizontal="right"/>
    </xf>
    <xf numFmtId="179" fontId="30" fillId="7" borderId="3" xfId="15" applyNumberFormat="1" applyFont="1" applyFill="1" applyBorder="1" applyAlignment="1" applyProtection="1">
      <alignment horizontal="right"/>
    </xf>
    <xf numFmtId="179" fontId="30" fillId="7" borderId="5" xfId="15" applyNumberFormat="1" applyFont="1" applyFill="1" applyBorder="1" applyAlignment="1" applyProtection="1">
      <alignment horizontal="right"/>
    </xf>
    <xf numFmtId="0" fontId="27" fillId="5" borderId="4" xfId="3" applyFont="1" applyFill="1" applyBorder="1" applyAlignment="1" applyProtection="1">
      <alignment horizontal="center" vertical="center" wrapText="1"/>
    </xf>
    <xf numFmtId="184" fontId="27" fillId="5" borderId="0" xfId="3" applyNumberFormat="1" applyFont="1" applyFill="1" applyBorder="1" applyAlignment="1" applyProtection="1">
      <alignment horizontal="right" vertical="center" wrapText="1"/>
    </xf>
    <xf numFmtId="174" fontId="27" fillId="5" borderId="0" xfId="3" applyNumberFormat="1" applyFont="1" applyFill="1" applyBorder="1" applyAlignment="1" applyProtection="1">
      <alignment horizontal="right" vertical="center" wrapText="1"/>
    </xf>
    <xf numFmtId="179" fontId="27" fillId="5" borderId="0" xfId="3" applyNumberFormat="1" applyFont="1" applyFill="1" applyBorder="1" applyAlignment="1" applyProtection="1">
      <alignment horizontal="right" vertical="center" wrapText="1"/>
    </xf>
    <xf numFmtId="2" fontId="27" fillId="5" borderId="0" xfId="3" applyNumberFormat="1" applyFont="1" applyFill="1" applyBorder="1" applyAlignment="1" applyProtection="1">
      <alignment horizontal="right" vertical="center" wrapText="1"/>
    </xf>
    <xf numFmtId="179" fontId="30" fillId="7" borderId="0" xfId="15" applyNumberFormat="1" applyFont="1" applyFill="1" applyBorder="1" applyAlignment="1" applyProtection="1">
      <alignment horizontal="right"/>
    </xf>
    <xf numFmtId="0" fontId="27" fillId="5" borderId="9" xfId="3" applyFont="1" applyFill="1" applyBorder="1" applyAlignment="1" applyProtection="1">
      <alignment horizontal="center" vertical="center" wrapText="1"/>
    </xf>
    <xf numFmtId="184" fontId="27" fillId="5" borderId="10" xfId="3" applyNumberFormat="1" applyFont="1" applyFill="1" applyBorder="1" applyAlignment="1" applyProtection="1">
      <alignment horizontal="right" vertical="center" wrapText="1"/>
    </xf>
    <xf numFmtId="174" fontId="27" fillId="5" borderId="10" xfId="3" applyNumberFormat="1" applyFont="1" applyFill="1" applyBorder="1" applyAlignment="1" applyProtection="1">
      <alignment horizontal="right" vertical="center" wrapText="1"/>
    </xf>
    <xf numFmtId="179" fontId="27" fillId="5" borderId="10" xfId="3" applyNumberFormat="1" applyFont="1" applyFill="1" applyBorder="1" applyAlignment="1" applyProtection="1">
      <alignment horizontal="right" vertical="center" wrapText="1"/>
    </xf>
    <xf numFmtId="2" fontId="27" fillId="5" borderId="10" xfId="3" applyNumberFormat="1" applyFont="1" applyFill="1" applyBorder="1" applyAlignment="1" applyProtection="1">
      <alignment horizontal="right" vertical="center" wrapText="1"/>
    </xf>
    <xf numFmtId="179" fontId="30" fillId="7" borderId="10" xfId="15" applyNumberFormat="1" applyFont="1" applyFill="1" applyBorder="1" applyAlignment="1" applyProtection="1">
      <alignment horizontal="right"/>
    </xf>
    <xf numFmtId="179" fontId="30" fillId="7" borderId="11" xfId="15" applyNumberFormat="1" applyFont="1" applyFill="1" applyBorder="1" applyAlignment="1" applyProtection="1">
      <alignment horizontal="right"/>
    </xf>
    <xf numFmtId="0" fontId="27" fillId="5" borderId="0" xfId="3" applyFont="1" applyFill="1" applyBorder="1" applyAlignment="1" applyProtection="1">
      <alignment horizontal="center" vertical="center" wrapText="1"/>
    </xf>
    <xf numFmtId="0" fontId="27" fillId="5" borderId="4" xfId="3" applyFont="1" applyFill="1" applyBorder="1" applyProtection="1"/>
    <xf numFmtId="2" fontId="29" fillId="5" borderId="9" xfId="3" applyNumberFormat="1" applyFont="1" applyFill="1" applyBorder="1" applyAlignment="1" applyProtection="1">
      <alignment horizontal="center"/>
    </xf>
    <xf numFmtId="0" fontId="27" fillId="5" borderId="10" xfId="3" applyFont="1" applyFill="1" applyBorder="1" applyAlignment="1" applyProtection="1">
      <alignment vertical="center"/>
    </xf>
    <xf numFmtId="0" fontId="27" fillId="5" borderId="10" xfId="3" applyFont="1" applyFill="1" applyBorder="1" applyProtection="1"/>
    <xf numFmtId="0" fontId="27" fillId="5" borderId="11" xfId="3" applyFont="1" applyFill="1" applyBorder="1" applyProtection="1"/>
    <xf numFmtId="0" fontId="29" fillId="0" borderId="0" xfId="18" applyFont="1" applyProtection="1"/>
    <xf numFmtId="0" fontId="25" fillId="0" borderId="0" xfId="18" applyFont="1" applyFill="1" applyProtection="1"/>
    <xf numFmtId="0" fontId="29" fillId="0" borderId="0" xfId="18" applyFont="1" applyProtection="1">
      <protection locked="0"/>
    </xf>
    <xf numFmtId="0" fontId="11" fillId="4" borderId="0" xfId="3" applyFont="1" applyFill="1" applyBorder="1" applyProtection="1"/>
    <xf numFmtId="3" fontId="3" fillId="4" borderId="0" xfId="3" applyNumberFormat="1" applyFont="1" applyFill="1" applyBorder="1" applyProtection="1"/>
    <xf numFmtId="0" fontId="5" fillId="3" borderId="0" xfId="3" applyFont="1" applyFill="1" applyProtection="1"/>
    <xf numFmtId="0" fontId="11" fillId="4" borderId="6" xfId="3" applyFont="1" applyFill="1" applyBorder="1" applyAlignment="1" applyProtection="1">
      <alignment horizontal="center" vertical="center"/>
    </xf>
    <xf numFmtId="0" fontId="11" fillId="4" borderId="7" xfId="3" applyFont="1" applyFill="1" applyBorder="1" applyAlignment="1" applyProtection="1">
      <alignment horizontal="center" vertical="center"/>
    </xf>
    <xf numFmtId="0" fontId="11" fillId="4" borderId="7" xfId="3" applyFont="1" applyFill="1" applyBorder="1" applyAlignment="1" applyProtection="1">
      <alignment horizontal="center" vertical="center" wrapText="1"/>
    </xf>
    <xf numFmtId="0" fontId="11" fillId="4" borderId="8" xfId="3" applyFont="1" applyFill="1" applyBorder="1" applyAlignment="1" applyProtection="1">
      <alignment horizontal="center" vertical="center" wrapText="1"/>
    </xf>
    <xf numFmtId="0" fontId="11" fillId="4" borderId="12" xfId="3" applyFont="1" applyFill="1" applyBorder="1" applyAlignment="1" applyProtection="1">
      <alignment horizontal="center" vertical="center"/>
    </xf>
    <xf numFmtId="3" fontId="11" fillId="4" borderId="2" xfId="3" applyNumberFormat="1" applyFont="1" applyFill="1" applyBorder="1" applyAlignment="1" applyProtection="1">
      <alignment horizontal="center" vertical="center"/>
    </xf>
    <xf numFmtId="3" fontId="11" fillId="4" borderId="2" xfId="3" applyNumberFormat="1" applyFont="1" applyFill="1" applyBorder="1" applyAlignment="1" applyProtection="1">
      <alignment horizontal="right" vertical="center"/>
    </xf>
    <xf numFmtId="173" fontId="11" fillId="4" borderId="3" xfId="24" applyFont="1" applyFill="1" applyBorder="1" applyAlignment="1" applyProtection="1">
      <alignment horizontal="right" vertical="center"/>
    </xf>
    <xf numFmtId="0" fontId="11" fillId="4" borderId="4" xfId="3" applyFont="1" applyFill="1" applyBorder="1" applyAlignment="1" applyProtection="1">
      <alignment horizontal="center" vertical="center"/>
    </xf>
    <xf numFmtId="3" fontId="11" fillId="4" borderId="0" xfId="3" applyNumberFormat="1" applyFont="1" applyFill="1" applyBorder="1" applyAlignment="1" applyProtection="1">
      <alignment horizontal="center" vertical="center"/>
    </xf>
    <xf numFmtId="3" fontId="11" fillId="4" borderId="0" xfId="3" applyNumberFormat="1" applyFont="1" applyFill="1" applyBorder="1" applyAlignment="1" applyProtection="1">
      <alignment horizontal="right" vertical="center"/>
    </xf>
    <xf numFmtId="173" fontId="11" fillId="4" borderId="5" xfId="24" applyFont="1" applyFill="1" applyBorder="1" applyAlignment="1" applyProtection="1">
      <alignment horizontal="right" vertical="center"/>
    </xf>
    <xf numFmtId="3" fontId="11" fillId="4" borderId="7" xfId="3" applyNumberFormat="1" applyFont="1" applyFill="1" applyBorder="1" applyAlignment="1" applyProtection="1">
      <alignment horizontal="center" vertical="center"/>
    </xf>
    <xf numFmtId="3" fontId="11" fillId="4" borderId="7" xfId="3" applyNumberFormat="1" applyFont="1" applyFill="1" applyBorder="1" applyAlignment="1" applyProtection="1">
      <alignment horizontal="right" vertical="center"/>
    </xf>
    <xf numFmtId="173" fontId="11" fillId="4" borderId="8" xfId="24" applyFont="1" applyFill="1" applyBorder="1" applyAlignment="1" applyProtection="1">
      <alignment horizontal="right" vertical="center"/>
    </xf>
    <xf numFmtId="3" fontId="11" fillId="5" borderId="0" xfId="3" applyNumberFormat="1" applyFont="1" applyFill="1" applyBorder="1" applyAlignment="1" applyProtection="1">
      <alignment horizontal="center" vertical="center"/>
    </xf>
    <xf numFmtId="173" fontId="10" fillId="3" borderId="0" xfId="24" applyFont="1" applyFill="1" applyBorder="1" applyProtection="1"/>
    <xf numFmtId="0" fontId="3" fillId="0" borderId="0" xfId="3" applyFont="1" applyProtection="1"/>
    <xf numFmtId="4" fontId="9" fillId="0" borderId="0" xfId="3" applyNumberFormat="1" applyFont="1" applyProtection="1"/>
    <xf numFmtId="0" fontId="31" fillId="0" borderId="0" xfId="3" applyFont="1" applyProtection="1"/>
    <xf numFmtId="170" fontId="31" fillId="0" borderId="0" xfId="3" applyNumberFormat="1" applyFont="1" applyProtection="1"/>
    <xf numFmtId="0" fontId="11" fillId="5" borderId="12" xfId="3" applyFont="1" applyFill="1" applyBorder="1" applyAlignment="1" applyProtection="1">
      <alignment horizontal="centerContinuous" wrapText="1"/>
    </xf>
    <xf numFmtId="0" fontId="11" fillId="5" borderId="3" xfId="3" applyFont="1" applyFill="1" applyBorder="1" applyAlignment="1" applyProtection="1">
      <alignment horizontal="centerContinuous" wrapText="1"/>
    </xf>
    <xf numFmtId="3" fontId="11" fillId="5" borderId="12" xfId="3" applyNumberFormat="1" applyFont="1" applyFill="1" applyBorder="1" applyAlignment="1" applyProtection="1">
      <alignment horizontal="centerContinuous" wrapText="1"/>
    </xf>
    <xf numFmtId="0" fontId="11" fillId="5" borderId="4" xfId="3" applyFont="1" applyFill="1" applyBorder="1" applyAlignment="1" applyProtection="1">
      <alignment horizontal="centerContinuous" wrapText="1"/>
    </xf>
    <xf numFmtId="0" fontId="11" fillId="5" borderId="5" xfId="3" applyFont="1" applyFill="1" applyBorder="1" applyAlignment="1" applyProtection="1">
      <alignment horizontal="centerContinuous" wrapText="1"/>
    </xf>
    <xf numFmtId="0" fontId="11" fillId="5" borderId="4" xfId="3" applyFont="1" applyFill="1" applyBorder="1" applyAlignment="1" applyProtection="1">
      <alignment horizontal="center" wrapText="1"/>
    </xf>
    <xf numFmtId="0" fontId="11" fillId="5" borderId="5" xfId="3" applyFont="1" applyFill="1" applyBorder="1" applyAlignment="1" applyProtection="1">
      <alignment horizontal="center" wrapText="1"/>
    </xf>
    <xf numFmtId="0" fontId="11" fillId="5" borderId="9" xfId="3" applyFont="1" applyFill="1" applyBorder="1" applyAlignment="1" applyProtection="1">
      <alignment horizontal="center" wrapText="1"/>
    </xf>
    <xf numFmtId="0" fontId="11" fillId="5" borderId="11" xfId="3" applyFont="1" applyFill="1" applyBorder="1" applyAlignment="1" applyProtection="1">
      <alignment horizontal="center" wrapText="1"/>
    </xf>
    <xf numFmtId="0" fontId="11" fillId="5" borderId="12" xfId="3" applyFont="1" applyFill="1" applyBorder="1" applyAlignment="1" applyProtection="1">
      <alignment horizontal="right" wrapText="1"/>
    </xf>
    <xf numFmtId="3" fontId="11" fillId="5" borderId="3" xfId="25" applyNumberFormat="1" applyFont="1" applyFill="1" applyBorder="1" applyAlignment="1" applyProtection="1">
      <alignment horizontal="right" wrapText="1"/>
    </xf>
    <xf numFmtId="0" fontId="11" fillId="5" borderId="2" xfId="3" applyFont="1" applyFill="1" applyBorder="1" applyAlignment="1" applyProtection="1">
      <alignment horizontal="right" wrapText="1"/>
    </xf>
    <xf numFmtId="0" fontId="11" fillId="5" borderId="4" xfId="3" applyFont="1" applyFill="1" applyBorder="1" applyAlignment="1" applyProtection="1">
      <alignment horizontal="right" wrapText="1"/>
    </xf>
    <xf numFmtId="3" fontId="11" fillId="5" borderId="5" xfId="25" applyNumberFormat="1" applyFont="1" applyFill="1" applyBorder="1" applyAlignment="1" applyProtection="1">
      <alignment horizontal="right" wrapText="1"/>
    </xf>
    <xf numFmtId="0" fontId="11" fillId="5" borderId="0" xfId="3" applyFont="1" applyFill="1" applyBorder="1" applyAlignment="1" applyProtection="1">
      <alignment horizontal="right" wrapText="1"/>
    </xf>
    <xf numFmtId="0" fontId="11" fillId="5" borderId="9" xfId="3" applyFont="1" applyFill="1" applyBorder="1" applyAlignment="1" applyProtection="1">
      <alignment horizontal="centerContinuous" wrapText="1"/>
    </xf>
    <xf numFmtId="0" fontId="11" fillId="5" borderId="11" xfId="3" applyFont="1" applyFill="1" applyBorder="1" applyAlignment="1" applyProtection="1">
      <alignment horizontal="centerContinuous" wrapText="1"/>
    </xf>
    <xf numFmtId="0" fontId="11" fillId="5" borderId="9" xfId="3" applyFont="1" applyFill="1" applyBorder="1" applyAlignment="1" applyProtection="1">
      <alignment horizontal="right" wrapText="1"/>
    </xf>
    <xf numFmtId="0" fontId="11" fillId="5" borderId="11" xfId="3" applyFont="1" applyFill="1" applyBorder="1" applyAlignment="1" applyProtection="1">
      <alignment horizontal="right" wrapText="1"/>
    </xf>
    <xf numFmtId="0" fontId="11" fillId="5" borderId="10" xfId="3" applyFont="1" applyFill="1" applyBorder="1" applyAlignment="1" applyProtection="1">
      <alignment horizontal="right" wrapText="1"/>
    </xf>
    <xf numFmtId="3" fontId="11" fillId="5" borderId="11" xfId="25" applyNumberFormat="1" applyFont="1" applyFill="1" applyBorder="1" applyAlignment="1" applyProtection="1">
      <alignment horizontal="right" wrapText="1"/>
    </xf>
    <xf numFmtId="0" fontId="11" fillId="5" borderId="0" xfId="3" applyFont="1" applyFill="1" applyBorder="1" applyAlignment="1" applyProtection="1">
      <alignment horizontal="center"/>
    </xf>
    <xf numFmtId="178" fontId="11" fillId="5" borderId="0" xfId="3" applyNumberFormat="1" applyFont="1" applyFill="1" applyBorder="1" applyAlignment="1" applyProtection="1">
      <alignment horizontal="center"/>
    </xf>
    <xf numFmtId="0" fontId="14" fillId="5" borderId="0" xfId="3" applyFont="1" applyFill="1" applyBorder="1" applyAlignment="1" applyProtection="1">
      <alignment vertical="center" wrapText="1"/>
    </xf>
    <xf numFmtId="185" fontId="10" fillId="5" borderId="1" xfId="3" applyNumberFormat="1" applyFont="1" applyFill="1" applyBorder="1" applyAlignment="1" applyProtection="1">
      <alignment horizontal="right"/>
    </xf>
    <xf numFmtId="178" fontId="11" fillId="5" borderId="6" xfId="3" applyNumberFormat="1" applyFont="1" applyFill="1" applyBorder="1" applyAlignment="1" applyProtection="1">
      <alignment horizontal="left"/>
    </xf>
    <xf numFmtId="0" fontId="10" fillId="5" borderId="8" xfId="3" applyFont="1" applyFill="1" applyBorder="1" applyProtection="1"/>
    <xf numFmtId="0" fontId="10" fillId="5" borderId="6" xfId="3" applyFont="1" applyFill="1" applyBorder="1" applyAlignment="1" applyProtection="1">
      <alignment horizontal="center" wrapText="1"/>
    </xf>
    <xf numFmtId="0" fontId="10" fillId="5" borderId="7" xfId="3" applyFont="1" applyFill="1" applyBorder="1" applyAlignment="1" applyProtection="1">
      <alignment horizontal="center" wrapText="1"/>
    </xf>
    <xf numFmtId="0" fontId="10" fillId="5" borderId="8" xfId="3" applyFont="1" applyFill="1" applyBorder="1" applyAlignment="1" applyProtection="1">
      <alignment horizontal="center" wrapText="1"/>
    </xf>
    <xf numFmtId="0" fontId="10" fillId="5" borderId="4" xfId="3" applyFont="1" applyFill="1" applyBorder="1" applyAlignment="1" applyProtection="1">
      <alignment horizontal="center"/>
    </xf>
    <xf numFmtId="3" fontId="10" fillId="5" borderId="0" xfId="25" applyNumberFormat="1" applyFont="1" applyFill="1" applyBorder="1" applyAlignment="1" applyProtection="1">
      <alignment horizontal="right"/>
    </xf>
    <xf numFmtId="3" fontId="10" fillId="5" borderId="5" xfId="25" applyNumberFormat="1" applyFont="1" applyFill="1" applyBorder="1" applyAlignment="1" applyProtection="1">
      <alignment horizontal="right"/>
    </xf>
    <xf numFmtId="170" fontId="0" fillId="0" borderId="0" xfId="5" applyFont="1" applyProtection="1"/>
    <xf numFmtId="183" fontId="0" fillId="0" borderId="0" xfId="5" applyNumberFormat="1" applyFont="1" applyProtection="1"/>
    <xf numFmtId="0" fontId="10" fillId="5" borderId="9" xfId="3" applyFont="1" applyFill="1" applyBorder="1" applyAlignment="1" applyProtection="1">
      <alignment horizontal="center"/>
    </xf>
    <xf numFmtId="3" fontId="10" fillId="5" borderId="10" xfId="25" applyNumberFormat="1" applyFont="1" applyFill="1" applyBorder="1" applyAlignment="1" applyProtection="1">
      <alignment horizontal="right"/>
    </xf>
    <xf numFmtId="3" fontId="10" fillId="5" borderId="11" xfId="25" applyNumberFormat="1" applyFont="1" applyFill="1" applyBorder="1" applyAlignment="1" applyProtection="1">
      <alignment horizontal="right"/>
    </xf>
    <xf numFmtId="0" fontId="10" fillId="5" borderId="6" xfId="3" applyFont="1" applyFill="1" applyBorder="1" applyAlignment="1" applyProtection="1">
      <alignment horizontal="center"/>
    </xf>
    <xf numFmtId="0" fontId="10" fillId="5" borderId="7" xfId="3" applyFont="1" applyFill="1" applyBorder="1" applyAlignment="1" applyProtection="1">
      <alignment horizontal="center"/>
    </xf>
    <xf numFmtId="0" fontId="10" fillId="5" borderId="8" xfId="3" applyFont="1" applyFill="1" applyBorder="1" applyAlignment="1" applyProtection="1">
      <alignment horizontal="center"/>
    </xf>
    <xf numFmtId="2" fontId="10" fillId="5" borderId="0" xfId="3" applyNumberFormat="1" applyFont="1" applyFill="1" applyBorder="1" applyAlignment="1" applyProtection="1">
      <alignment horizontal="right"/>
    </xf>
    <xf numFmtId="9" fontId="10" fillId="5" borderId="0" xfId="3" applyNumberFormat="1" applyFont="1" applyFill="1" applyBorder="1" applyAlignment="1" applyProtection="1">
      <alignment horizontal="right"/>
    </xf>
    <xf numFmtId="0" fontId="10" fillId="5" borderId="5" xfId="3" applyFont="1" applyFill="1" applyBorder="1" applyAlignment="1" applyProtection="1">
      <alignment horizontal="right"/>
    </xf>
    <xf numFmtId="0" fontId="12" fillId="5" borderId="0" xfId="3" applyFont="1" applyFill="1" applyBorder="1" applyAlignment="1" applyProtection="1">
      <alignment horizontal="center"/>
    </xf>
    <xf numFmtId="0" fontId="10" fillId="5" borderId="0" xfId="3" applyFont="1" applyFill="1" applyBorder="1" applyAlignment="1" applyProtection="1">
      <alignment horizontal="right"/>
    </xf>
    <xf numFmtId="0" fontId="2" fillId="0" borderId="0" xfId="1" quotePrefix="1" applyProtection="1"/>
    <xf numFmtId="179" fontId="13" fillId="0" borderId="0" xfId="1" applyNumberFormat="1" applyFont="1" applyProtection="1"/>
    <xf numFmtId="0" fontId="10" fillId="5" borderId="10" xfId="3" applyFont="1" applyFill="1" applyBorder="1" applyAlignment="1" applyProtection="1">
      <alignment horizontal="right"/>
    </xf>
    <xf numFmtId="9" fontId="10" fillId="5" borderId="10" xfId="3" applyNumberFormat="1" applyFont="1" applyFill="1" applyBorder="1" applyAlignment="1" applyProtection="1">
      <alignment horizontal="right"/>
    </xf>
    <xf numFmtId="0" fontId="10" fillId="5" borderId="11" xfId="3" applyFont="1" applyFill="1" applyBorder="1" applyAlignment="1" applyProtection="1">
      <alignment horizontal="right"/>
    </xf>
    <xf numFmtId="3" fontId="10" fillId="5" borderId="13" xfId="3" applyNumberFormat="1" applyFont="1" applyFill="1" applyBorder="1" applyAlignment="1" applyProtection="1">
      <alignment horizontal="right"/>
    </xf>
    <xf numFmtId="0" fontId="10" fillId="5" borderId="12" xfId="3" applyFont="1" applyFill="1" applyBorder="1" applyAlignment="1" applyProtection="1">
      <alignment horizontal="left"/>
    </xf>
    <xf numFmtId="0" fontId="10" fillId="5" borderId="2" xfId="3" applyFont="1" applyFill="1" applyBorder="1" applyAlignment="1" applyProtection="1">
      <alignment horizontal="center"/>
    </xf>
    <xf numFmtId="0" fontId="10" fillId="5" borderId="3" xfId="3" applyFont="1" applyFill="1" applyBorder="1" applyAlignment="1" applyProtection="1">
      <alignment horizontal="center"/>
    </xf>
    <xf numFmtId="9" fontId="10" fillId="5" borderId="14" xfId="3" applyNumberFormat="1" applyFont="1" applyFill="1" applyBorder="1" applyAlignment="1" applyProtection="1">
      <alignment horizontal="right"/>
    </xf>
    <xf numFmtId="0" fontId="10" fillId="5" borderId="4" xfId="3" applyFont="1" applyFill="1" applyBorder="1" applyAlignment="1" applyProtection="1">
      <alignment horizontal="left"/>
    </xf>
    <xf numFmtId="0" fontId="10" fillId="5" borderId="5" xfId="3" applyFont="1" applyFill="1" applyBorder="1" applyAlignment="1" applyProtection="1">
      <alignment horizontal="center"/>
    </xf>
    <xf numFmtId="179" fontId="10" fillId="5" borderId="14" xfId="3" applyNumberFormat="1" applyFont="1" applyFill="1" applyBorder="1" applyAlignment="1" applyProtection="1">
      <alignment horizontal="right"/>
    </xf>
    <xf numFmtId="179" fontId="13" fillId="0" borderId="0" xfId="13" applyNumberFormat="1" applyFont="1" applyProtection="1"/>
    <xf numFmtId="3" fontId="10" fillId="5" borderId="15" xfId="3" applyNumberFormat="1" applyFont="1" applyFill="1" applyBorder="1" applyAlignment="1" applyProtection="1">
      <alignment horizontal="right"/>
    </xf>
    <xf numFmtId="0" fontId="10" fillId="5" borderId="9" xfId="3" applyFont="1" applyFill="1" applyBorder="1" applyAlignment="1" applyProtection="1">
      <alignment horizontal="left"/>
    </xf>
    <xf numFmtId="0" fontId="10" fillId="5" borderId="10" xfId="3" applyFont="1" applyFill="1" applyBorder="1" applyAlignment="1" applyProtection="1">
      <alignment horizontal="center"/>
    </xf>
    <xf numFmtId="0" fontId="10" fillId="5" borderId="11" xfId="3" applyFont="1" applyFill="1" applyBorder="1" applyProtection="1"/>
    <xf numFmtId="0" fontId="14" fillId="5" borderId="0" xfId="3" applyFont="1" applyFill="1" applyBorder="1" applyAlignment="1" applyProtection="1">
      <alignment horizontal="center" vertical="center" wrapText="1"/>
    </xf>
    <xf numFmtId="0" fontId="10" fillId="9" borderId="2" xfId="3" applyFont="1" applyFill="1" applyBorder="1" applyProtection="1"/>
    <xf numFmtId="0" fontId="10" fillId="9" borderId="3" xfId="3" applyFont="1" applyFill="1" applyBorder="1" applyProtection="1"/>
    <xf numFmtId="0" fontId="8" fillId="10" borderId="4" xfId="3" applyFont="1" applyFill="1" applyBorder="1" applyAlignment="1" applyProtection="1">
      <alignment horizontal="center"/>
    </xf>
    <xf numFmtId="0" fontId="10" fillId="10" borderId="0" xfId="3" applyFont="1" applyFill="1" applyBorder="1" applyProtection="1"/>
    <xf numFmtId="0" fontId="10" fillId="10" borderId="5" xfId="3" applyFont="1" applyFill="1" applyBorder="1" applyProtection="1"/>
    <xf numFmtId="2" fontId="9" fillId="10" borderId="4" xfId="3" applyNumberFormat="1" applyFont="1" applyFill="1" applyBorder="1" applyAlignment="1" applyProtection="1">
      <alignment horizontal="center"/>
    </xf>
    <xf numFmtId="2" fontId="9" fillId="10" borderId="4" xfId="3" applyNumberFormat="1" applyFont="1" applyFill="1" applyBorder="1" applyProtection="1"/>
    <xf numFmtId="0" fontId="10" fillId="9" borderId="0" xfId="3" applyFont="1" applyFill="1" applyBorder="1" applyAlignment="1" applyProtection="1">
      <alignment vertical="center"/>
    </xf>
    <xf numFmtId="0" fontId="10" fillId="10" borderId="0" xfId="3" applyFont="1" applyFill="1" applyBorder="1" applyAlignment="1" applyProtection="1"/>
    <xf numFmtId="0" fontId="10" fillId="10" borderId="5" xfId="3" applyFont="1" applyFill="1" applyBorder="1" applyAlignment="1" applyProtection="1"/>
    <xf numFmtId="165" fontId="10" fillId="9" borderId="13" xfId="3" applyNumberFormat="1" applyFont="1" applyFill="1" applyBorder="1" applyAlignment="1" applyProtection="1">
      <alignment horizontal="right" vertical="center"/>
    </xf>
    <xf numFmtId="0" fontId="10" fillId="10" borderId="12" xfId="3" applyFont="1" applyFill="1" applyBorder="1" applyAlignment="1" applyProtection="1"/>
    <xf numFmtId="0" fontId="10" fillId="10" borderId="3" xfId="3" applyFont="1" applyFill="1" applyBorder="1" applyAlignment="1" applyProtection="1"/>
    <xf numFmtId="167" fontId="10" fillId="9" borderId="0" xfId="3" applyNumberFormat="1" applyFont="1" applyFill="1" applyBorder="1" applyAlignment="1" applyProtection="1">
      <alignment horizontal="left" vertical="center"/>
    </xf>
    <xf numFmtId="165" fontId="10" fillId="9" borderId="14" xfId="3" applyNumberFormat="1" applyFont="1" applyFill="1" applyBorder="1" applyAlignment="1" applyProtection="1">
      <alignment horizontal="right" vertical="center"/>
    </xf>
    <xf numFmtId="167" fontId="10" fillId="9" borderId="4" xfId="3" applyNumberFormat="1" applyFont="1" applyFill="1" applyBorder="1" applyAlignment="1" applyProtection="1">
      <alignment horizontal="left" vertical="center"/>
    </xf>
    <xf numFmtId="0" fontId="32" fillId="10" borderId="0" xfId="3" applyFont="1" applyFill="1" applyBorder="1" applyAlignment="1" applyProtection="1">
      <alignment horizontal="center" vertical="center"/>
    </xf>
    <xf numFmtId="0" fontId="10" fillId="10" borderId="0" xfId="3" applyFont="1" applyFill="1" applyBorder="1" applyAlignment="1" applyProtection="1">
      <alignment vertical="center"/>
    </xf>
    <xf numFmtId="0" fontId="32" fillId="10" borderId="5" xfId="3" applyFont="1" applyFill="1" applyBorder="1" applyAlignment="1" applyProtection="1">
      <alignment horizontal="center" vertical="center"/>
    </xf>
    <xf numFmtId="9" fontId="10" fillId="9" borderId="15" xfId="3" applyNumberFormat="1" applyFont="1" applyFill="1" applyBorder="1" applyAlignment="1" applyProtection="1">
      <alignment horizontal="right" vertical="center"/>
    </xf>
    <xf numFmtId="167" fontId="10" fillId="9" borderId="9" xfId="3" applyNumberFormat="1" applyFont="1" applyFill="1" applyBorder="1" applyAlignment="1" applyProtection="1">
      <alignment horizontal="left" vertical="center"/>
    </xf>
    <xf numFmtId="0" fontId="10" fillId="10" borderId="11" xfId="3" applyFont="1" applyFill="1" applyBorder="1" applyAlignment="1" applyProtection="1"/>
    <xf numFmtId="9" fontId="0" fillId="0" borderId="0" xfId="13" applyFont="1" applyProtection="1"/>
    <xf numFmtId="0" fontId="10" fillId="9" borderId="0" xfId="3" applyFont="1" applyFill="1" applyBorder="1" applyAlignment="1" applyProtection="1">
      <alignment horizontal="left" vertical="center"/>
    </xf>
    <xf numFmtId="186" fontId="10" fillId="10" borderId="0" xfId="3" applyNumberFormat="1" applyFont="1" applyFill="1" applyBorder="1" applyAlignment="1" applyProtection="1">
      <alignment horizontal="center" vertical="center" wrapText="1"/>
    </xf>
    <xf numFmtId="165" fontId="18" fillId="0" borderId="0" xfId="3" applyNumberFormat="1" applyFont="1" applyProtection="1"/>
    <xf numFmtId="0" fontId="10" fillId="9" borderId="0" xfId="28" applyFont="1" applyFill="1" applyProtection="1"/>
    <xf numFmtId="0" fontId="10" fillId="10" borderId="0" xfId="3" applyFont="1" applyFill="1" applyBorder="1" applyAlignment="1" applyProtection="1">
      <alignment horizontal="left"/>
    </xf>
    <xf numFmtId="0" fontId="10" fillId="10" borderId="0" xfId="3" applyFont="1" applyFill="1" applyBorder="1" applyAlignment="1" applyProtection="1">
      <alignment horizontal="center" vertical="center"/>
    </xf>
    <xf numFmtId="3" fontId="10" fillId="10" borderId="0" xfId="3" applyNumberFormat="1" applyFont="1" applyFill="1" applyBorder="1" applyAlignment="1" applyProtection="1">
      <alignment horizontal="right" vertical="center"/>
    </xf>
    <xf numFmtId="0" fontId="10" fillId="10" borderId="0" xfId="3" applyFont="1" applyFill="1" applyBorder="1" applyAlignment="1" applyProtection="1">
      <alignment horizontal="right" vertical="center"/>
    </xf>
    <xf numFmtId="3" fontId="10" fillId="10" borderId="5" xfId="3" applyNumberFormat="1" applyFont="1" applyFill="1" applyBorder="1" applyAlignment="1" applyProtection="1">
      <alignment horizontal="right" vertical="center"/>
    </xf>
    <xf numFmtId="2" fontId="9" fillId="10" borderId="9" xfId="3" applyNumberFormat="1" applyFont="1" applyFill="1" applyBorder="1" applyProtection="1"/>
    <xf numFmtId="0" fontId="32" fillId="10" borderId="10" xfId="3" applyFont="1" applyFill="1" applyBorder="1" applyAlignment="1" applyProtection="1">
      <alignment horizontal="center" vertical="center"/>
    </xf>
    <xf numFmtId="0" fontId="10" fillId="10" borderId="10" xfId="3" applyFont="1" applyFill="1" applyBorder="1" applyAlignment="1" applyProtection="1">
      <alignment vertical="center"/>
    </xf>
    <xf numFmtId="0" fontId="32" fillId="10" borderId="11" xfId="3" applyFont="1" applyFill="1" applyBorder="1" applyAlignment="1" applyProtection="1">
      <alignment horizontal="center" vertical="center"/>
    </xf>
    <xf numFmtId="165" fontId="2" fillId="6" borderId="0" xfId="1" applyNumberFormat="1" applyFill="1" applyProtection="1"/>
    <xf numFmtId="177" fontId="0" fillId="0" borderId="0" xfId="5" applyNumberFormat="1" applyFont="1" applyProtection="1"/>
    <xf numFmtId="165" fontId="2" fillId="0" borderId="0" xfId="1" applyNumberFormat="1" applyProtection="1"/>
    <xf numFmtId="177" fontId="0" fillId="6" borderId="0" xfId="5" applyNumberFormat="1" applyFont="1" applyFill="1" applyProtection="1"/>
    <xf numFmtId="0" fontId="10" fillId="5" borderId="3" xfId="3" applyFont="1" applyFill="1" applyBorder="1" applyProtection="1"/>
    <xf numFmtId="3" fontId="10" fillId="5" borderId="14" xfId="3" applyNumberFormat="1" applyFont="1" applyFill="1" applyBorder="1" applyAlignment="1" applyProtection="1">
      <alignment horizontal="right"/>
    </xf>
    <xf numFmtId="187" fontId="10" fillId="5" borderId="14" xfId="3" applyNumberFormat="1" applyFont="1" applyFill="1" applyBorder="1" applyAlignment="1" applyProtection="1">
      <alignment horizontal="right"/>
    </xf>
    <xf numFmtId="9" fontId="10" fillId="5" borderId="15" xfId="3" applyNumberFormat="1" applyFont="1" applyFill="1" applyBorder="1" applyAlignment="1" applyProtection="1">
      <alignment horizontal="right"/>
    </xf>
    <xf numFmtId="9" fontId="10" fillId="5" borderId="0" xfId="3" applyNumberFormat="1" applyFont="1" applyFill="1" applyBorder="1" applyAlignment="1" applyProtection="1">
      <alignment horizontal="left"/>
    </xf>
    <xf numFmtId="0" fontId="9" fillId="5" borderId="0" xfId="3" applyFont="1" applyFill="1" applyBorder="1" applyProtection="1"/>
    <xf numFmtId="0" fontId="10" fillId="4" borderId="0" xfId="3" applyFont="1" applyFill="1" applyBorder="1" applyAlignment="1" applyProtection="1">
      <alignment vertical="center"/>
    </xf>
    <xf numFmtId="0" fontId="11" fillId="3" borderId="9" xfId="3" applyFont="1" applyFill="1" applyBorder="1" applyProtection="1"/>
    <xf numFmtId="0" fontId="11" fillId="3" borderId="10" xfId="3" applyFont="1" applyFill="1" applyBorder="1" applyProtection="1"/>
    <xf numFmtId="0" fontId="11" fillId="3" borderId="11" xfId="3" applyFont="1" applyFill="1" applyBorder="1" applyProtection="1"/>
    <xf numFmtId="9" fontId="11" fillId="0" borderId="0" xfId="3" applyNumberFormat="1" applyFont="1" applyProtection="1"/>
    <xf numFmtId="0" fontId="10" fillId="5" borderId="0" xfId="3" applyFont="1" applyFill="1" applyBorder="1" applyAlignment="1" applyProtection="1"/>
    <xf numFmtId="0" fontId="11" fillId="0" borderId="0" xfId="3" applyFont="1" applyAlignment="1" applyProtection="1">
      <alignment horizontal="center"/>
    </xf>
    <xf numFmtId="0" fontId="5" fillId="3" borderId="2" xfId="1" applyFont="1" applyFill="1" applyBorder="1" applyAlignment="1" applyProtection="1">
      <alignment horizontal="right"/>
    </xf>
    <xf numFmtId="0" fontId="5" fillId="3" borderId="3" xfId="1" applyFont="1" applyFill="1" applyBorder="1" applyAlignment="1" applyProtection="1">
      <alignment horizontal="right"/>
    </xf>
    <xf numFmtId="0" fontId="5" fillId="3" borderId="10" xfId="1" applyFont="1" applyFill="1" applyBorder="1" applyAlignment="1" applyProtection="1">
      <alignment horizontal="right"/>
    </xf>
    <xf numFmtId="171" fontId="5" fillId="3" borderId="2" xfId="1" applyNumberFormat="1" applyFont="1" applyFill="1" applyBorder="1" applyAlignment="1" applyProtection="1">
      <alignment horizontal="center"/>
    </xf>
    <xf numFmtId="165" fontId="5" fillId="3" borderId="2" xfId="1" applyNumberFormat="1" applyFont="1" applyFill="1" applyBorder="1" applyAlignment="1" applyProtection="1">
      <alignment horizontal="right"/>
    </xf>
    <xf numFmtId="165" fontId="5" fillId="3" borderId="3" xfId="1" applyNumberFormat="1" applyFont="1" applyFill="1" applyBorder="1" applyAlignment="1" applyProtection="1">
      <alignment horizontal="right"/>
    </xf>
    <xf numFmtId="165" fontId="5" fillId="3" borderId="0" xfId="1" applyNumberFormat="1" applyFont="1" applyFill="1" applyBorder="1" applyAlignment="1" applyProtection="1">
      <alignment horizontal="right"/>
    </xf>
    <xf numFmtId="165" fontId="5" fillId="3" borderId="5" xfId="1" applyNumberFormat="1" applyFont="1" applyFill="1" applyBorder="1" applyAlignment="1" applyProtection="1">
      <alignment horizontal="right"/>
    </xf>
    <xf numFmtId="165" fontId="5" fillId="3" borderId="10" xfId="1" applyNumberFormat="1" applyFont="1" applyFill="1" applyBorder="1" applyAlignment="1" applyProtection="1">
      <alignment horizontal="right"/>
    </xf>
    <xf numFmtId="165" fontId="5" fillId="3" borderId="11" xfId="1" applyNumberFormat="1" applyFont="1" applyFill="1" applyBorder="1" applyAlignment="1" applyProtection="1">
      <alignment horizontal="right"/>
    </xf>
    <xf numFmtId="0" fontId="5" fillId="3" borderId="6" xfId="1" applyFont="1" applyFill="1" applyBorder="1" applyAlignment="1" applyProtection="1">
      <alignment horizontal="center"/>
    </xf>
    <xf numFmtId="171" fontId="5" fillId="3" borderId="7" xfId="1" applyNumberFormat="1" applyFont="1" applyFill="1" applyBorder="1" applyAlignment="1" applyProtection="1">
      <alignment horizontal="left"/>
    </xf>
    <xf numFmtId="171" fontId="5" fillId="3" borderId="7" xfId="1" applyNumberFormat="1" applyFont="1" applyFill="1" applyBorder="1" applyAlignment="1" applyProtection="1">
      <alignment horizontal="center"/>
    </xf>
    <xf numFmtId="165" fontId="5" fillId="3" borderId="7" xfId="1" applyNumberFormat="1" applyFont="1" applyFill="1" applyBorder="1" applyAlignment="1" applyProtection="1">
      <alignment horizontal="right"/>
    </xf>
    <xf numFmtId="165" fontId="5" fillId="3" borderId="8" xfId="1" applyNumberFormat="1" applyFont="1" applyFill="1" applyBorder="1" applyAlignment="1" applyProtection="1">
      <alignment horizontal="right"/>
    </xf>
    <xf numFmtId="174" fontId="2" fillId="0" borderId="0" xfId="1" applyNumberFormat="1" applyProtection="1"/>
    <xf numFmtId="0" fontId="10" fillId="5" borderId="1" xfId="3" applyFont="1" applyFill="1" applyBorder="1" applyAlignment="1" applyProtection="1">
      <alignment horizontal="right" vertical="center"/>
    </xf>
    <xf numFmtId="0" fontId="10" fillId="5" borderId="6" xfId="3" applyFont="1" applyFill="1" applyBorder="1" applyAlignment="1" applyProtection="1">
      <alignment vertical="center"/>
    </xf>
    <xf numFmtId="0" fontId="10" fillId="5" borderId="7" xfId="3" applyFont="1" applyFill="1" applyBorder="1" applyProtection="1"/>
    <xf numFmtId="165" fontId="16" fillId="2" borderId="0" xfId="9" applyNumberFormat="1" applyProtection="1"/>
    <xf numFmtId="165" fontId="11" fillId="0" borderId="0" xfId="3" applyNumberFormat="1" applyFont="1" applyProtection="1"/>
    <xf numFmtId="0" fontId="3" fillId="0" borderId="0" xfId="3" applyFont="1" applyBorder="1" applyAlignment="1" applyProtection="1">
      <alignment horizontal="center"/>
    </xf>
    <xf numFmtId="0" fontId="34" fillId="0" borderId="0" xfId="3" applyFont="1" applyBorder="1" applyAlignment="1" applyProtection="1">
      <alignment horizontal="center"/>
    </xf>
    <xf numFmtId="0" fontId="11" fillId="0" borderId="0" xfId="3" applyFont="1" applyBorder="1" applyAlignment="1" applyProtection="1">
      <alignment horizontal="center"/>
    </xf>
    <xf numFmtId="0" fontId="11" fillId="0" borderId="0" xfId="3" quotePrefix="1" applyFont="1" applyProtection="1"/>
    <xf numFmtId="167" fontId="11" fillId="0" borderId="0" xfId="3" applyNumberFormat="1" applyFont="1" applyProtection="1"/>
    <xf numFmtId="0" fontId="10" fillId="5" borderId="12" xfId="3" applyFont="1" applyFill="1" applyBorder="1" applyAlignment="1" applyProtection="1">
      <alignment horizontal="centerContinuous"/>
    </xf>
    <xf numFmtId="178" fontId="11" fillId="5" borderId="2" xfId="3" applyNumberFormat="1" applyFont="1" applyFill="1" applyBorder="1" applyAlignment="1" applyProtection="1">
      <alignment horizontal="centerContinuous"/>
    </xf>
    <xf numFmtId="0" fontId="10" fillId="5" borderId="2" xfId="3" applyFont="1" applyFill="1" applyBorder="1" applyAlignment="1" applyProtection="1">
      <alignment horizontal="centerContinuous"/>
    </xf>
    <xf numFmtId="0" fontId="12" fillId="5" borderId="3" xfId="3" applyFont="1" applyFill="1" applyBorder="1" applyAlignment="1" applyProtection="1">
      <alignment horizontal="centerContinuous" vertical="center" wrapText="1"/>
    </xf>
    <xf numFmtId="0" fontId="11" fillId="5" borderId="10" xfId="3" applyNumberFormat="1" applyFont="1" applyFill="1" applyBorder="1" applyAlignment="1" applyProtection="1">
      <alignment horizontal="center"/>
    </xf>
    <xf numFmtId="0" fontId="11" fillId="5" borderId="11" xfId="3" applyNumberFormat="1" applyFont="1" applyFill="1" applyBorder="1" applyAlignment="1" applyProtection="1">
      <alignment horizontal="center"/>
    </xf>
    <xf numFmtId="0" fontId="12" fillId="5" borderId="0" xfId="3" applyFont="1" applyFill="1" applyBorder="1" applyAlignment="1" applyProtection="1">
      <alignment horizontal="right" vertical="center" wrapText="1"/>
    </xf>
    <xf numFmtId="0" fontId="10" fillId="5" borderId="13" xfId="3" applyFont="1" applyFill="1" applyBorder="1" applyAlignment="1" applyProtection="1">
      <alignment horizontal="center"/>
    </xf>
    <xf numFmtId="3" fontId="10" fillId="5" borderId="12" xfId="3" applyNumberFormat="1" applyFont="1" applyFill="1" applyBorder="1" applyAlignment="1" applyProtection="1">
      <alignment horizontal="center"/>
    </xf>
    <xf numFmtId="3" fontId="10" fillId="5" borderId="2" xfId="3" applyNumberFormat="1" applyFont="1" applyFill="1" applyBorder="1" applyAlignment="1" applyProtection="1">
      <alignment horizontal="center"/>
    </xf>
    <xf numFmtId="3" fontId="10" fillId="5" borderId="3" xfId="3" applyNumberFormat="1" applyFont="1" applyFill="1" applyBorder="1" applyAlignment="1" applyProtection="1">
      <alignment horizontal="center"/>
    </xf>
    <xf numFmtId="0" fontId="10" fillId="5" borderId="14" xfId="3" applyFont="1" applyFill="1" applyBorder="1" applyAlignment="1" applyProtection="1">
      <alignment horizontal="center"/>
    </xf>
    <xf numFmtId="3" fontId="10" fillId="5" borderId="4" xfId="3" applyNumberFormat="1" applyFont="1" applyFill="1" applyBorder="1" applyAlignment="1" applyProtection="1">
      <alignment horizontal="center"/>
    </xf>
    <xf numFmtId="3" fontId="10" fillId="5" borderId="0" xfId="3" applyNumberFormat="1" applyFont="1" applyFill="1" applyBorder="1" applyAlignment="1" applyProtection="1">
      <alignment horizontal="center"/>
    </xf>
    <xf numFmtId="3" fontId="12" fillId="5" borderId="5" xfId="3" applyNumberFormat="1" applyFont="1" applyFill="1" applyBorder="1" applyAlignment="1" applyProtection="1">
      <alignment horizontal="center"/>
    </xf>
    <xf numFmtId="0" fontId="10" fillId="5" borderId="15" xfId="3" applyFont="1" applyFill="1" applyBorder="1" applyAlignment="1" applyProtection="1">
      <alignment horizontal="center"/>
    </xf>
    <xf numFmtId="3" fontId="10" fillId="5" borderId="9" xfId="3" applyNumberFormat="1" applyFont="1" applyFill="1" applyBorder="1" applyAlignment="1" applyProtection="1">
      <alignment horizontal="center"/>
    </xf>
    <xf numFmtId="3" fontId="10" fillId="5" borderId="10" xfId="3" applyNumberFormat="1" applyFont="1" applyFill="1" applyBorder="1" applyAlignment="1" applyProtection="1">
      <alignment horizontal="center"/>
    </xf>
    <xf numFmtId="3" fontId="12" fillId="5" borderId="11" xfId="3" applyNumberFormat="1" applyFont="1" applyFill="1" applyBorder="1" applyAlignment="1" applyProtection="1">
      <alignment horizontal="center"/>
    </xf>
    <xf numFmtId="0" fontId="11" fillId="3" borderId="0" xfId="1" applyFont="1" applyFill="1" applyBorder="1" applyAlignment="1" applyProtection="1">
      <alignment vertical="center"/>
    </xf>
    <xf numFmtId="2" fontId="11" fillId="0" borderId="0" xfId="3" applyNumberFormat="1" applyFont="1" applyProtection="1"/>
    <xf numFmtId="0" fontId="11" fillId="11" borderId="0" xfId="3" applyFont="1" applyFill="1" applyAlignment="1" applyProtection="1">
      <alignment horizontal="center"/>
    </xf>
    <xf numFmtId="177" fontId="11" fillId="0" borderId="0" xfId="3" applyNumberFormat="1" applyFont="1" applyProtection="1"/>
    <xf numFmtId="177" fontId="11" fillId="11" borderId="0" xfId="3" applyNumberFormat="1" applyFont="1" applyFill="1" applyAlignment="1" applyProtection="1">
      <alignment horizontal="center"/>
    </xf>
    <xf numFmtId="0" fontId="5" fillId="3" borderId="2" xfId="29" applyFont="1" applyFill="1" applyBorder="1" applyProtection="1"/>
    <xf numFmtId="0" fontId="11" fillId="3" borderId="2" xfId="29" applyFont="1" applyFill="1" applyBorder="1" applyProtection="1"/>
    <xf numFmtId="0" fontId="11" fillId="3" borderId="3" xfId="29" applyFont="1" applyFill="1" applyBorder="1" applyProtection="1"/>
    <xf numFmtId="0" fontId="11" fillId="0" borderId="0" xfId="29" applyFont="1" applyProtection="1"/>
    <xf numFmtId="0" fontId="11" fillId="0" borderId="0" xfId="29" applyFont="1"/>
    <xf numFmtId="0" fontId="8" fillId="4" borderId="4" xfId="1" applyFont="1" applyFill="1" applyBorder="1" applyAlignment="1" applyProtection="1">
      <alignment horizontal="center"/>
    </xf>
    <xf numFmtId="0" fontId="36" fillId="3" borderId="0" xfId="1" applyFont="1" applyFill="1" applyBorder="1" applyProtection="1"/>
    <xf numFmtId="0" fontId="11" fillId="3" borderId="0" xfId="29" applyFont="1" applyFill="1" applyBorder="1" applyProtection="1"/>
    <xf numFmtId="0" fontId="11" fillId="3" borderId="5" xfId="29" applyFont="1" applyFill="1" applyBorder="1" applyProtection="1"/>
    <xf numFmtId="2" fontId="9" fillId="4" borderId="4" xfId="1" applyNumberFormat="1" applyFont="1" applyFill="1" applyBorder="1" applyAlignment="1" applyProtection="1">
      <alignment horizontal="center"/>
    </xf>
    <xf numFmtId="0" fontId="11" fillId="3" borderId="4" xfId="29" applyFont="1" applyFill="1" applyBorder="1" applyProtection="1"/>
    <xf numFmtId="0" fontId="5" fillId="3" borderId="12" xfId="1" quotePrefix="1" applyFont="1" applyFill="1" applyBorder="1" applyAlignment="1" applyProtection="1">
      <alignment horizontal="center"/>
    </xf>
    <xf numFmtId="0" fontId="5" fillId="3" borderId="2" xfId="1" quotePrefix="1" applyFont="1" applyFill="1" applyBorder="1" applyAlignment="1" applyProtection="1">
      <alignment horizontal="centerContinuous"/>
    </xf>
    <xf numFmtId="0" fontId="11" fillId="3" borderId="2" xfId="29" applyFont="1" applyFill="1" applyBorder="1" applyAlignment="1" applyProtection="1">
      <alignment horizontal="centerContinuous"/>
    </xf>
    <xf numFmtId="0" fontId="11" fillId="3" borderId="3" xfId="29" applyFont="1" applyFill="1" applyBorder="1" applyAlignment="1" applyProtection="1">
      <alignment horizontal="centerContinuous"/>
    </xf>
    <xf numFmtId="0" fontId="5" fillId="3" borderId="9" xfId="1" quotePrefix="1" applyFont="1" applyFill="1" applyBorder="1" applyAlignment="1" applyProtection="1">
      <alignment horizontal="center"/>
    </xf>
    <xf numFmtId="0" fontId="5" fillId="3" borderId="13" xfId="1" applyFont="1" applyFill="1" applyBorder="1" applyAlignment="1" applyProtection="1">
      <alignment horizontal="center"/>
    </xf>
    <xf numFmtId="0" fontId="5" fillId="3" borderId="12" xfId="1" applyFont="1" applyFill="1" applyBorder="1" applyAlignment="1" applyProtection="1">
      <alignment horizontal="right"/>
    </xf>
    <xf numFmtId="177" fontId="5" fillId="3" borderId="12" xfId="5" applyNumberFormat="1" applyFont="1" applyFill="1" applyBorder="1" applyAlignment="1" applyProtection="1">
      <alignment horizontal="right"/>
    </xf>
    <xf numFmtId="177" fontId="5" fillId="3" borderId="2" xfId="5" applyNumberFormat="1" applyFont="1" applyFill="1" applyBorder="1" applyAlignment="1" applyProtection="1">
      <alignment horizontal="right"/>
    </xf>
    <xf numFmtId="177" fontId="5" fillId="3" borderId="3" xfId="5" applyNumberFormat="1" applyFont="1" applyFill="1" applyBorder="1" applyAlignment="1" applyProtection="1">
      <alignment horizontal="right"/>
    </xf>
    <xf numFmtId="0" fontId="5" fillId="3" borderId="14" xfId="1" applyFont="1" applyFill="1" applyBorder="1" applyAlignment="1" applyProtection="1">
      <alignment horizontal="center"/>
    </xf>
    <xf numFmtId="0" fontId="5" fillId="3" borderId="4" xfId="1" applyFont="1" applyFill="1" applyBorder="1" applyAlignment="1" applyProtection="1">
      <alignment horizontal="right"/>
    </xf>
    <xf numFmtId="0" fontId="5" fillId="3" borderId="0" xfId="1" applyFont="1" applyFill="1" applyBorder="1" applyAlignment="1" applyProtection="1">
      <alignment horizontal="right"/>
    </xf>
    <xf numFmtId="177" fontId="5" fillId="3" borderId="4" xfId="5" applyNumberFormat="1" applyFont="1" applyFill="1" applyBorder="1" applyAlignment="1" applyProtection="1">
      <alignment horizontal="right"/>
    </xf>
    <xf numFmtId="177" fontId="5" fillId="3" borderId="0" xfId="5" applyNumberFormat="1" applyFont="1" applyFill="1" applyBorder="1" applyAlignment="1" applyProtection="1">
      <alignment horizontal="right"/>
    </xf>
    <xf numFmtId="177" fontId="5" fillId="3" borderId="5" xfId="5" applyNumberFormat="1" applyFont="1" applyFill="1" applyBorder="1" applyAlignment="1" applyProtection="1">
      <alignment horizontal="right"/>
    </xf>
    <xf numFmtId="0" fontId="5" fillId="3" borderId="15" xfId="1" applyFont="1" applyFill="1" applyBorder="1" applyAlignment="1" applyProtection="1">
      <alignment horizontal="center"/>
    </xf>
    <xf numFmtId="0" fontId="5" fillId="3" borderId="9" xfId="1" applyFont="1" applyFill="1" applyBorder="1" applyAlignment="1" applyProtection="1">
      <alignment horizontal="right"/>
    </xf>
    <xf numFmtId="177" fontId="5" fillId="3" borderId="9" xfId="5" applyNumberFormat="1" applyFont="1" applyFill="1" applyBorder="1" applyAlignment="1" applyProtection="1">
      <alignment horizontal="right"/>
    </xf>
    <xf numFmtId="177" fontId="5" fillId="3" borderId="10" xfId="5" applyNumberFormat="1" applyFont="1" applyFill="1" applyBorder="1" applyAlignment="1" applyProtection="1">
      <alignment horizontal="right"/>
    </xf>
    <xf numFmtId="177" fontId="5" fillId="3" borderId="11" xfId="5" applyNumberFormat="1" applyFont="1" applyFill="1" applyBorder="1" applyAlignment="1" applyProtection="1">
      <alignment horizontal="right"/>
    </xf>
    <xf numFmtId="0" fontId="5" fillId="3" borderId="13" xfId="1" quotePrefix="1" applyFont="1" applyFill="1" applyBorder="1" applyAlignment="1" applyProtection="1">
      <alignment horizontal="center"/>
    </xf>
    <xf numFmtId="0" fontId="11" fillId="3" borderId="13" xfId="29" applyFont="1" applyFill="1" applyBorder="1" applyAlignment="1" applyProtection="1">
      <alignment horizontal="center"/>
    </xf>
    <xf numFmtId="0" fontId="5" fillId="3" borderId="15" xfId="1" quotePrefix="1" applyFont="1" applyFill="1" applyBorder="1" applyAlignment="1" applyProtection="1">
      <alignment horizontal="center"/>
    </xf>
    <xf numFmtId="0" fontId="11" fillId="3" borderId="15" xfId="29" applyFont="1" applyFill="1" applyBorder="1" applyAlignment="1" applyProtection="1">
      <alignment horizontal="center"/>
    </xf>
    <xf numFmtId="0" fontId="11" fillId="3" borderId="13" xfId="29" applyFont="1" applyFill="1" applyBorder="1" applyAlignment="1" applyProtection="1">
      <alignment horizontal="right"/>
    </xf>
    <xf numFmtId="0" fontId="11" fillId="3" borderId="14" xfId="29" applyFont="1" applyFill="1" applyBorder="1" applyAlignment="1" applyProtection="1">
      <alignment horizontal="right"/>
    </xf>
    <xf numFmtId="0" fontId="11" fillId="3" borderId="15" xfId="29" applyFont="1" applyFill="1" applyBorder="1" applyAlignment="1" applyProtection="1">
      <alignment horizontal="right"/>
    </xf>
    <xf numFmtId="9" fontId="11" fillId="3" borderId="1" xfId="13" applyFont="1" applyFill="1" applyBorder="1" applyProtection="1"/>
    <xf numFmtId="0" fontId="11" fillId="3" borderId="6" xfId="29" applyFont="1" applyFill="1" applyBorder="1" applyProtection="1"/>
    <xf numFmtId="0" fontId="11" fillId="3" borderId="8" xfId="29" applyFont="1" applyFill="1" applyBorder="1" applyProtection="1"/>
    <xf numFmtId="2" fontId="9" fillId="3" borderId="9" xfId="29" applyNumberFormat="1" applyFont="1" applyFill="1" applyBorder="1" applyProtection="1"/>
    <xf numFmtId="0" fontId="11" fillId="3" borderId="10" xfId="29" applyFont="1" applyFill="1" applyBorder="1" applyProtection="1"/>
    <xf numFmtId="0" fontId="11" fillId="3" borderId="11" xfId="29" applyFont="1" applyFill="1" applyBorder="1" applyProtection="1"/>
    <xf numFmtId="183" fontId="11" fillId="0" borderId="0" xfId="30" applyNumberFormat="1" applyFont="1" applyProtection="1"/>
    <xf numFmtId="177" fontId="11" fillId="0" borderId="0" xfId="30" applyNumberFormat="1" applyFont="1" applyProtection="1"/>
    <xf numFmtId="188" fontId="11" fillId="0" borderId="0" xfId="30" applyNumberFormat="1" applyFont="1" applyProtection="1"/>
    <xf numFmtId="176" fontId="11" fillId="0" borderId="0" xfId="29" applyNumberFormat="1" applyFont="1" applyProtection="1"/>
    <xf numFmtId="177" fontId="11" fillId="0" borderId="0" xfId="29" applyNumberFormat="1" applyFont="1" applyProtection="1"/>
    <xf numFmtId="0" fontId="11" fillId="0" borderId="0" xfId="29" applyFont="1" applyProtection="1">
      <protection locked="0"/>
    </xf>
    <xf numFmtId="0" fontId="11" fillId="0" borderId="0" xfId="29" quotePrefix="1" applyFont="1" applyProtection="1"/>
    <xf numFmtId="9" fontId="15" fillId="12" borderId="6" xfId="29" applyNumberFormat="1" applyFont="1" applyFill="1" applyBorder="1" applyProtection="1"/>
    <xf numFmtId="0" fontId="15" fillId="12" borderId="7" xfId="29" applyFont="1" applyFill="1" applyBorder="1" applyProtection="1"/>
    <xf numFmtId="0" fontId="15" fillId="12" borderId="8" xfId="29" applyFont="1" applyFill="1" applyBorder="1" applyProtection="1"/>
    <xf numFmtId="170" fontId="11" fillId="0" borderId="0" xfId="29" applyNumberFormat="1" applyFont="1" applyProtection="1"/>
    <xf numFmtId="0" fontId="11" fillId="0" borderId="0" xfId="29" applyFont="1" applyFill="1" applyProtection="1"/>
    <xf numFmtId="0" fontId="11" fillId="0" borderId="0" xfId="29" applyFont="1" applyFill="1" applyAlignment="1" applyProtection="1">
      <alignment horizontal="right"/>
    </xf>
    <xf numFmtId="177" fontId="11" fillId="0" borderId="0" xfId="29" applyNumberFormat="1" applyFont="1" applyFill="1" applyProtection="1"/>
    <xf numFmtId="0" fontId="11" fillId="6" borderId="0" xfId="29" applyFont="1" applyFill="1" applyProtection="1"/>
    <xf numFmtId="177" fontId="11" fillId="6" borderId="0" xfId="29" applyNumberFormat="1" applyFont="1" applyFill="1" applyProtection="1"/>
    <xf numFmtId="0" fontId="19" fillId="0" borderId="0" xfId="1" applyFont="1" applyAlignment="1" applyProtection="1">
      <alignment horizontal="center"/>
    </xf>
    <xf numFmtId="0" fontId="19" fillId="0" borderId="0" xfId="1" quotePrefix="1" applyFont="1" applyAlignment="1" applyProtection="1">
      <alignment horizontal="center"/>
    </xf>
    <xf numFmtId="174" fontId="2" fillId="0" borderId="0" xfId="1" applyNumberFormat="1" applyAlignment="1" applyProtection="1">
      <alignment horizontal="center"/>
    </xf>
    <xf numFmtId="0" fontId="11" fillId="5" borderId="12" xfId="3" applyFont="1" applyFill="1" applyBorder="1" applyProtection="1"/>
    <xf numFmtId="0" fontId="11" fillId="5" borderId="2" xfId="3" applyFont="1" applyFill="1" applyBorder="1" applyAlignment="1" applyProtection="1">
      <alignment horizontal="centerContinuous"/>
    </xf>
    <xf numFmtId="0" fontId="12" fillId="5" borderId="3" xfId="3" applyFont="1" applyFill="1" applyBorder="1" applyAlignment="1" applyProtection="1">
      <alignment horizontal="centerContinuous"/>
    </xf>
    <xf numFmtId="0" fontId="11" fillId="5" borderId="10" xfId="3" applyFont="1" applyFill="1" applyBorder="1" applyAlignment="1" applyProtection="1">
      <alignment horizontal="right"/>
    </xf>
    <xf numFmtId="0" fontId="11" fillId="5" borderId="11" xfId="3" applyFont="1" applyFill="1" applyBorder="1" applyAlignment="1" applyProtection="1">
      <alignment horizontal="right"/>
    </xf>
    <xf numFmtId="0" fontId="11" fillId="5" borderId="13" xfId="3" applyFont="1" applyFill="1" applyBorder="1" applyAlignment="1" applyProtection="1">
      <alignment horizontal="center"/>
    </xf>
    <xf numFmtId="37" fontId="11" fillId="5" borderId="12" xfId="31" applyNumberFormat="1" applyFont="1" applyFill="1" applyBorder="1" applyAlignment="1" applyProtection="1">
      <alignment horizontal="right"/>
    </xf>
    <xf numFmtId="37" fontId="11" fillId="5" borderId="2" xfId="31" applyNumberFormat="1" applyFont="1" applyFill="1" applyBorder="1" applyAlignment="1" applyProtection="1">
      <alignment horizontal="right"/>
    </xf>
    <xf numFmtId="177" fontId="10" fillId="5" borderId="3" xfId="5" applyNumberFormat="1" applyFont="1" applyFill="1" applyBorder="1" applyAlignment="1" applyProtection="1">
      <alignment horizontal="right" vertical="center" wrapText="1"/>
    </xf>
    <xf numFmtId="0" fontId="11" fillId="5" borderId="14" xfId="3" applyFont="1" applyFill="1" applyBorder="1" applyAlignment="1" applyProtection="1">
      <alignment horizontal="center"/>
    </xf>
    <xf numFmtId="37" fontId="11" fillId="5" borderId="4" xfId="31" applyNumberFormat="1" applyFont="1" applyFill="1" applyBorder="1" applyAlignment="1" applyProtection="1">
      <alignment horizontal="right"/>
    </xf>
    <xf numFmtId="37" fontId="11" fillId="5" borderId="0" xfId="31" applyNumberFormat="1" applyFont="1" applyFill="1" applyBorder="1" applyAlignment="1" applyProtection="1">
      <alignment horizontal="right"/>
    </xf>
    <xf numFmtId="0" fontId="11" fillId="5" borderId="15" xfId="3" applyFont="1" applyFill="1" applyBorder="1" applyAlignment="1" applyProtection="1">
      <alignment horizontal="center"/>
    </xf>
    <xf numFmtId="37" fontId="11" fillId="5" borderId="9" xfId="31" applyNumberFormat="1" applyFont="1" applyFill="1" applyBorder="1" applyAlignment="1" applyProtection="1">
      <alignment horizontal="right"/>
    </xf>
    <xf numFmtId="37" fontId="11" fillId="5" borderId="10" xfId="31" applyNumberFormat="1" applyFont="1" applyFill="1" applyBorder="1" applyAlignment="1" applyProtection="1">
      <alignment horizontal="right"/>
    </xf>
    <xf numFmtId="0" fontId="12" fillId="5" borderId="11" xfId="3" applyFont="1" applyFill="1" applyBorder="1" applyAlignment="1" applyProtection="1">
      <alignment horizontal="right" vertical="center" wrapText="1"/>
    </xf>
    <xf numFmtId="0" fontId="11" fillId="5" borderId="1" xfId="3" applyFont="1" applyFill="1" applyBorder="1" applyAlignment="1" applyProtection="1">
      <alignment horizontal="center"/>
    </xf>
    <xf numFmtId="0" fontId="11" fillId="5" borderId="8" xfId="3" applyFont="1" applyFill="1" applyBorder="1" applyAlignment="1" applyProtection="1">
      <alignment horizontal="right" wrapText="1"/>
    </xf>
    <xf numFmtId="0" fontId="23" fillId="5" borderId="0" xfId="31" applyNumberFormat="1" applyFont="1" applyFill="1" applyBorder="1" applyAlignment="1" applyProtection="1">
      <alignment horizontal="center"/>
    </xf>
    <xf numFmtId="3" fontId="11" fillId="5" borderId="13" xfId="3" applyNumberFormat="1" applyFont="1" applyFill="1" applyBorder="1" applyAlignment="1" applyProtection="1">
      <alignment horizontal="right"/>
    </xf>
    <xf numFmtId="10" fontId="0" fillId="0" borderId="0" xfId="13" applyNumberFormat="1" applyFont="1" applyAlignment="1" applyProtection="1">
      <alignment horizontal="center"/>
    </xf>
    <xf numFmtId="177" fontId="2" fillId="0" borderId="0" xfId="1" applyNumberFormat="1" applyProtection="1"/>
    <xf numFmtId="3" fontId="11" fillId="5" borderId="14" xfId="3" applyNumberFormat="1" applyFont="1" applyFill="1" applyBorder="1" applyAlignment="1" applyProtection="1">
      <alignment horizontal="right"/>
    </xf>
    <xf numFmtId="3" fontId="11" fillId="5" borderId="15" xfId="3" applyNumberFormat="1" applyFont="1" applyFill="1" applyBorder="1" applyAlignment="1" applyProtection="1">
      <alignment horizontal="right"/>
    </xf>
    <xf numFmtId="3" fontId="11" fillId="5" borderId="0" xfId="3" applyNumberFormat="1" applyFont="1" applyFill="1" applyBorder="1" applyAlignment="1" applyProtection="1">
      <alignment horizontal="center"/>
    </xf>
    <xf numFmtId="0" fontId="10" fillId="5" borderId="1" xfId="3" applyFont="1" applyFill="1" applyBorder="1" applyAlignment="1" applyProtection="1">
      <alignment vertical="center"/>
    </xf>
    <xf numFmtId="14" fontId="11" fillId="5" borderId="6" xfId="3" applyNumberFormat="1" applyFont="1" applyFill="1" applyBorder="1" applyAlignment="1" applyProtection="1">
      <alignment horizontal="left" vertical="center"/>
    </xf>
    <xf numFmtId="14" fontId="23" fillId="5" borderId="7" xfId="3" applyNumberFormat="1" applyFont="1" applyFill="1" applyBorder="1" applyAlignment="1" applyProtection="1">
      <alignment horizontal="center"/>
    </xf>
    <xf numFmtId="0" fontId="23" fillId="5" borderId="8" xfId="31" applyNumberFormat="1" applyFont="1" applyFill="1" applyBorder="1" applyAlignment="1" applyProtection="1">
      <alignment horizontal="center"/>
    </xf>
    <xf numFmtId="0" fontId="2" fillId="0" borderId="0" xfId="1" applyAlignment="1" applyProtection="1">
      <alignment horizontal="right"/>
    </xf>
    <xf numFmtId="176" fontId="2" fillId="0" borderId="0" xfId="1" applyNumberFormat="1" applyProtection="1"/>
    <xf numFmtId="3" fontId="13" fillId="0" borderId="0" xfId="1" applyNumberFormat="1" applyFont="1" applyProtection="1"/>
    <xf numFmtId="0" fontId="10" fillId="0" borderId="0" xfId="3" applyFont="1" applyProtection="1"/>
    <xf numFmtId="189" fontId="2" fillId="0" borderId="0" xfId="1" applyNumberFormat="1" applyProtection="1"/>
    <xf numFmtId="187" fontId="2" fillId="0" borderId="0" xfId="1" applyNumberFormat="1" applyProtection="1"/>
    <xf numFmtId="0" fontId="11" fillId="5" borderId="12" xfId="3" applyFont="1" applyFill="1" applyBorder="1" applyAlignment="1" applyProtection="1">
      <alignment horizontal="center" wrapText="1"/>
    </xf>
    <xf numFmtId="0" fontId="11" fillId="5" borderId="2" xfId="3" applyFont="1" applyFill="1" applyBorder="1" applyAlignment="1" applyProtection="1">
      <alignment horizontal="center" wrapText="1"/>
    </xf>
    <xf numFmtId="0" fontId="11" fillId="5" borderId="3" xfId="3" applyFont="1" applyFill="1" applyBorder="1" applyAlignment="1" applyProtection="1">
      <alignment horizontal="center" wrapText="1"/>
    </xf>
    <xf numFmtId="0" fontId="37" fillId="0" borderId="0" xfId="3" applyFont="1" applyProtection="1"/>
    <xf numFmtId="0" fontId="11" fillId="5" borderId="10" xfId="3" applyFont="1" applyFill="1" applyBorder="1" applyAlignment="1" applyProtection="1">
      <alignment horizontal="center" wrapText="1"/>
    </xf>
    <xf numFmtId="0" fontId="11" fillId="5" borderId="7" xfId="3" applyFont="1" applyFill="1" applyBorder="1" applyAlignment="1" applyProtection="1">
      <alignment horizontal="center" wrapText="1"/>
    </xf>
    <xf numFmtId="177" fontId="11" fillId="5" borderId="8" xfId="32" applyNumberFormat="1" applyFont="1" applyFill="1" applyBorder="1" applyAlignment="1" applyProtection="1">
      <alignment wrapText="1"/>
    </xf>
    <xf numFmtId="177" fontId="11" fillId="5" borderId="4" xfId="3" applyNumberFormat="1" applyFont="1" applyFill="1" applyBorder="1" applyAlignment="1" applyProtection="1">
      <alignment horizontal="center" wrapText="1"/>
    </xf>
    <xf numFmtId="0" fontId="11" fillId="5" borderId="4" xfId="3" applyFont="1" applyFill="1" applyBorder="1" applyAlignment="1" applyProtection="1">
      <alignment horizontal="center"/>
    </xf>
    <xf numFmtId="0" fontId="11" fillId="5" borderId="0" xfId="3" applyFont="1" applyFill="1" applyBorder="1" applyAlignment="1" applyProtection="1">
      <alignment horizontal="center" wrapText="1"/>
    </xf>
    <xf numFmtId="177" fontId="11" fillId="5" borderId="5" xfId="32" applyNumberFormat="1" applyFont="1" applyFill="1" applyBorder="1" applyAlignment="1" applyProtection="1">
      <alignment wrapText="1"/>
    </xf>
    <xf numFmtId="177" fontId="11" fillId="5" borderId="11" xfId="32" applyNumberFormat="1" applyFont="1" applyFill="1" applyBorder="1" applyAlignment="1" applyProtection="1">
      <alignment wrapText="1"/>
    </xf>
    <xf numFmtId="177" fontId="11" fillId="5" borderId="3" xfId="32" applyNumberFormat="1" applyFont="1" applyFill="1" applyBorder="1" applyAlignment="1" applyProtection="1">
      <alignment wrapText="1"/>
    </xf>
    <xf numFmtId="0" fontId="10" fillId="5" borderId="1" xfId="3" applyFont="1" applyFill="1" applyBorder="1" applyAlignment="1" applyProtection="1">
      <alignment horizontal="right"/>
    </xf>
    <xf numFmtId="0" fontId="10" fillId="5" borderId="6" xfId="3" applyFont="1" applyFill="1" applyBorder="1" applyAlignment="1" applyProtection="1">
      <alignment horizontal="left"/>
    </xf>
    <xf numFmtId="0" fontId="11" fillId="0" borderId="0" xfId="3" applyFont="1" applyBorder="1" applyProtection="1"/>
    <xf numFmtId="0" fontId="11" fillId="5" borderId="0" xfId="18" applyFont="1" applyFill="1" applyBorder="1" applyAlignment="1" applyProtection="1">
      <alignment horizontal="centerContinuous" vertical="center" wrapText="1"/>
    </xf>
    <xf numFmtId="0" fontId="11" fillId="5" borderId="12" xfId="18" applyFont="1" applyFill="1" applyBorder="1" applyAlignment="1" applyProtection="1">
      <alignment horizontal="center" vertical="center" wrapText="1"/>
    </xf>
    <xf numFmtId="0" fontId="11" fillId="5" borderId="2" xfId="18" applyFont="1" applyFill="1" applyBorder="1" applyAlignment="1" applyProtection="1">
      <alignment horizontal="centerContinuous" vertical="center" wrapText="1"/>
    </xf>
    <xf numFmtId="0" fontId="11" fillId="5" borderId="3" xfId="18" applyFont="1" applyFill="1" applyBorder="1" applyAlignment="1" applyProtection="1">
      <alignment horizontal="centerContinuous" vertical="center" wrapText="1"/>
    </xf>
    <xf numFmtId="0" fontId="11" fillId="5" borderId="9" xfId="18" applyFont="1" applyFill="1" applyBorder="1" applyAlignment="1" applyProtection="1">
      <alignment horizontal="center" vertical="center" wrapText="1"/>
    </xf>
    <xf numFmtId="0" fontId="11" fillId="5" borderId="10" xfId="18" applyFont="1" applyFill="1" applyBorder="1" applyAlignment="1" applyProtection="1">
      <alignment horizontal="right" vertical="center" wrapText="1"/>
    </xf>
    <xf numFmtId="0" fontId="11" fillId="5" borderId="11" xfId="18" applyFont="1" applyFill="1" applyBorder="1" applyAlignment="1" applyProtection="1">
      <alignment horizontal="right" vertical="center" wrapText="1"/>
    </xf>
    <xf numFmtId="179" fontId="0" fillId="0" borderId="0" xfId="13" applyNumberFormat="1" applyFont="1" applyProtection="1"/>
    <xf numFmtId="0" fontId="11" fillId="5" borderId="13" xfId="18" applyFont="1" applyFill="1" applyBorder="1" applyAlignment="1" applyProtection="1">
      <alignment horizontal="center" vertical="center" wrapText="1"/>
    </xf>
    <xf numFmtId="3" fontId="11" fillId="5" borderId="12" xfId="18" applyNumberFormat="1" applyFont="1" applyFill="1" applyBorder="1" applyAlignment="1" applyProtection="1">
      <alignment horizontal="right" vertical="center" wrapText="1"/>
    </xf>
    <xf numFmtId="3" fontId="11" fillId="5" borderId="2" xfId="18" applyNumberFormat="1" applyFont="1" applyFill="1" applyBorder="1" applyAlignment="1" applyProtection="1">
      <alignment horizontal="right" vertical="center" wrapText="1"/>
    </xf>
    <xf numFmtId="3" fontId="11" fillId="5" borderId="3" xfId="18" applyNumberFormat="1" applyFont="1" applyFill="1" applyBorder="1" applyAlignment="1" applyProtection="1">
      <alignment horizontal="right" vertical="center" wrapText="1"/>
    </xf>
    <xf numFmtId="0" fontId="11" fillId="5" borderId="14" xfId="18" applyFont="1" applyFill="1" applyBorder="1" applyAlignment="1" applyProtection="1">
      <alignment horizontal="center" vertical="center" wrapText="1"/>
    </xf>
    <xf numFmtId="3" fontId="11" fillId="5" borderId="4" xfId="18" applyNumberFormat="1" applyFont="1" applyFill="1" applyBorder="1" applyAlignment="1" applyProtection="1">
      <alignment horizontal="right" vertical="center" wrapText="1"/>
    </xf>
    <xf numFmtId="3" fontId="11" fillId="5" borderId="0" xfId="18" applyNumberFormat="1" applyFont="1" applyFill="1" applyBorder="1" applyAlignment="1" applyProtection="1">
      <alignment horizontal="right" vertical="center" wrapText="1"/>
    </xf>
    <xf numFmtId="3" fontId="11" fillId="5" borderId="5" xfId="18" applyNumberFormat="1" applyFont="1" applyFill="1" applyBorder="1" applyAlignment="1" applyProtection="1">
      <alignment horizontal="right" vertical="center" wrapText="1"/>
    </xf>
    <xf numFmtId="0" fontId="11" fillId="5" borderId="15" xfId="18" applyFont="1" applyFill="1" applyBorder="1" applyAlignment="1" applyProtection="1">
      <alignment horizontal="center" vertical="center" wrapText="1"/>
    </xf>
    <xf numFmtId="3" fontId="11" fillId="5" borderId="9" xfId="18" applyNumberFormat="1" applyFont="1" applyFill="1" applyBorder="1" applyAlignment="1" applyProtection="1">
      <alignment horizontal="right" vertical="center" wrapText="1"/>
    </xf>
    <xf numFmtId="3" fontId="11" fillId="5" borderId="10" xfId="18" applyNumberFormat="1" applyFont="1" applyFill="1" applyBorder="1" applyAlignment="1" applyProtection="1">
      <alignment horizontal="right" vertical="center" wrapText="1"/>
    </xf>
    <xf numFmtId="3" fontId="11" fillId="5" borderId="11" xfId="18" applyNumberFormat="1" applyFont="1" applyFill="1" applyBorder="1" applyAlignment="1" applyProtection="1">
      <alignment horizontal="right" vertical="center" wrapText="1"/>
    </xf>
    <xf numFmtId="0" fontId="11" fillId="5" borderId="0" xfId="18" applyFont="1" applyFill="1" applyBorder="1" applyAlignment="1" applyProtection="1">
      <alignment horizontal="center" vertical="center" wrapText="1"/>
    </xf>
    <xf numFmtId="0" fontId="11" fillId="5" borderId="0" xfId="3" applyFont="1" applyFill="1" applyBorder="1" applyAlignment="1" applyProtection="1">
      <alignment horizontal="left" wrapText="1"/>
    </xf>
    <xf numFmtId="0" fontId="10" fillId="5" borderId="0" xfId="3" applyFont="1" applyFill="1" applyBorder="1" applyAlignment="1" applyProtection="1">
      <alignment horizontal="left" vertical="center" indent="2"/>
    </xf>
    <xf numFmtId="0" fontId="10" fillId="5" borderId="0" xfId="3" applyFont="1" applyFill="1" applyBorder="1" applyAlignment="1" applyProtection="1">
      <alignment horizontal="left" indent="2"/>
    </xf>
    <xf numFmtId="0" fontId="9" fillId="5" borderId="4" xfId="3" applyFont="1" applyFill="1" applyBorder="1" applyAlignment="1" applyProtection="1">
      <alignment horizontal="center"/>
    </xf>
    <xf numFmtId="2" fontId="11" fillId="5" borderId="4" xfId="3" applyNumberFormat="1" applyFont="1" applyFill="1" applyBorder="1" applyAlignment="1" applyProtection="1">
      <alignment horizontal="center"/>
    </xf>
    <xf numFmtId="0" fontId="11" fillId="5" borderId="0" xfId="3" applyFont="1" applyFill="1" applyBorder="1" applyAlignment="1" applyProtection="1">
      <alignment horizontal="left" vertical="center" wrapText="1"/>
    </xf>
    <xf numFmtId="0" fontId="11" fillId="5" borderId="5" xfId="3" applyFont="1" applyFill="1" applyBorder="1" applyAlignment="1" applyProtection="1">
      <alignment horizontal="left" vertical="center" wrapText="1"/>
    </xf>
    <xf numFmtId="190" fontId="11" fillId="5" borderId="5" xfId="3" applyNumberFormat="1" applyFont="1" applyFill="1" applyBorder="1" applyProtection="1"/>
    <xf numFmtId="190" fontId="11" fillId="0" borderId="0" xfId="3" applyNumberFormat="1" applyFont="1" applyFill="1" applyProtection="1"/>
    <xf numFmtId="172" fontId="11" fillId="5" borderId="5" xfId="31" applyNumberFormat="1" applyFont="1" applyFill="1" applyBorder="1" applyAlignment="1" applyProtection="1"/>
    <xf numFmtId="172" fontId="11" fillId="0" borderId="0" xfId="31" applyNumberFormat="1" applyFont="1" applyFill="1" applyBorder="1" applyAlignment="1" applyProtection="1"/>
    <xf numFmtId="183" fontId="2" fillId="0" borderId="0" xfId="1" applyNumberFormat="1" applyProtection="1"/>
    <xf numFmtId="172" fontId="11" fillId="5" borderId="0" xfId="3" applyNumberFormat="1" applyFont="1" applyFill="1" applyBorder="1" applyProtection="1"/>
    <xf numFmtId="172" fontId="11" fillId="5" borderId="0" xfId="31" applyNumberFormat="1" applyFont="1" applyFill="1" applyBorder="1" applyAlignment="1" applyProtection="1"/>
    <xf numFmtId="179" fontId="11" fillId="5" borderId="12" xfId="13" applyNumberFormat="1" applyFont="1" applyFill="1" applyBorder="1" applyAlignment="1" applyProtection="1">
      <alignment horizontal="right"/>
    </xf>
    <xf numFmtId="37" fontId="11" fillId="5" borderId="0" xfId="31" applyNumberFormat="1" applyFont="1" applyFill="1" applyBorder="1" applyAlignment="1" applyProtection="1">
      <alignment horizontal="center"/>
    </xf>
    <xf numFmtId="179" fontId="12" fillId="5" borderId="5" xfId="3" applyNumberFormat="1" applyFont="1" applyFill="1" applyBorder="1" applyAlignment="1" applyProtection="1">
      <alignment horizontal="right" vertical="center" wrapText="1"/>
    </xf>
    <xf numFmtId="179" fontId="11" fillId="5" borderId="0" xfId="31" applyNumberFormat="1" applyFont="1" applyFill="1" applyBorder="1" applyAlignment="1" applyProtection="1">
      <alignment horizontal="right"/>
    </xf>
    <xf numFmtId="179" fontId="11" fillId="5" borderId="10" xfId="31" applyNumberFormat="1" applyFont="1" applyFill="1" applyBorder="1" applyAlignment="1" applyProtection="1">
      <alignment horizontal="right"/>
    </xf>
    <xf numFmtId="179" fontId="12" fillId="5" borderId="11" xfId="3" applyNumberFormat="1" applyFont="1" applyFill="1" applyBorder="1" applyAlignment="1" applyProtection="1">
      <alignment horizontal="right" vertical="center" wrapText="1"/>
    </xf>
    <xf numFmtId="179" fontId="2" fillId="0" borderId="0" xfId="1" applyNumberFormat="1" applyProtection="1"/>
    <xf numFmtId="191" fontId="11" fillId="5" borderId="12" xfId="31" applyNumberFormat="1" applyFont="1" applyFill="1" applyBorder="1" applyAlignment="1" applyProtection="1">
      <alignment horizontal="right"/>
    </xf>
    <xf numFmtId="191" fontId="12" fillId="5" borderId="5" xfId="3" applyNumberFormat="1" applyFont="1" applyFill="1" applyBorder="1" applyAlignment="1" applyProtection="1">
      <alignment horizontal="right" vertical="center" wrapText="1"/>
    </xf>
    <xf numFmtId="192" fontId="11" fillId="5" borderId="12" xfId="31" applyNumberFormat="1" applyFont="1" applyFill="1" applyBorder="1" applyAlignment="1" applyProtection="1">
      <alignment horizontal="right"/>
    </xf>
    <xf numFmtId="192" fontId="11" fillId="5" borderId="2" xfId="31" applyNumberFormat="1" applyFont="1" applyFill="1" applyBorder="1" applyAlignment="1" applyProtection="1">
      <alignment horizontal="right"/>
    </xf>
    <xf numFmtId="192" fontId="10" fillId="5" borderId="3" xfId="5" applyNumberFormat="1" applyFont="1" applyFill="1" applyBorder="1" applyAlignment="1" applyProtection="1">
      <alignment horizontal="right" vertical="center" wrapText="1"/>
    </xf>
    <xf numFmtId="191" fontId="11" fillId="5" borderId="0" xfId="31" applyNumberFormat="1" applyFont="1" applyFill="1" applyBorder="1" applyAlignment="1" applyProtection="1">
      <alignment horizontal="right"/>
    </xf>
    <xf numFmtId="192" fontId="11" fillId="5" borderId="4" xfId="31" applyNumberFormat="1" applyFont="1" applyFill="1" applyBorder="1" applyAlignment="1" applyProtection="1">
      <alignment horizontal="right"/>
    </xf>
    <xf numFmtId="192" fontId="11" fillId="5" borderId="0" xfId="31" applyNumberFormat="1" applyFont="1" applyFill="1" applyBorder="1" applyAlignment="1" applyProtection="1">
      <alignment horizontal="right"/>
    </xf>
    <xf numFmtId="192" fontId="12" fillId="5" borderId="5" xfId="3" applyNumberFormat="1" applyFont="1" applyFill="1" applyBorder="1" applyAlignment="1" applyProtection="1">
      <alignment horizontal="right" vertical="center" wrapText="1"/>
    </xf>
    <xf numFmtId="191" fontId="11" fillId="5" borderId="10" xfId="31" applyNumberFormat="1" applyFont="1" applyFill="1" applyBorder="1" applyAlignment="1" applyProtection="1">
      <alignment horizontal="right"/>
    </xf>
    <xf numFmtId="191" fontId="12" fillId="5" borderId="11" xfId="3" applyNumberFormat="1" applyFont="1" applyFill="1" applyBorder="1" applyAlignment="1" applyProtection="1">
      <alignment horizontal="right" vertical="center" wrapText="1"/>
    </xf>
    <xf numFmtId="192" fontId="11" fillId="5" borderId="9" xfId="31" applyNumberFormat="1" applyFont="1" applyFill="1" applyBorder="1" applyAlignment="1" applyProtection="1">
      <alignment horizontal="right"/>
    </xf>
    <xf numFmtId="192" fontId="11" fillId="5" borderId="10" xfId="31" applyNumberFormat="1" applyFont="1" applyFill="1" applyBorder="1" applyAlignment="1" applyProtection="1">
      <alignment horizontal="right"/>
    </xf>
    <xf numFmtId="192" fontId="12" fillId="5" borderId="11" xfId="3" applyNumberFormat="1" applyFont="1" applyFill="1" applyBorder="1" applyAlignment="1" applyProtection="1">
      <alignment horizontal="right" vertical="center" wrapText="1"/>
    </xf>
    <xf numFmtId="193" fontId="11" fillId="5" borderId="0" xfId="31" applyNumberFormat="1" applyFont="1" applyFill="1" applyBorder="1" applyAlignment="1" applyProtection="1">
      <alignment horizontal="center"/>
    </xf>
    <xf numFmtId="192" fontId="11" fillId="5" borderId="0" xfId="31" applyNumberFormat="1" applyFont="1" applyFill="1" applyBorder="1" applyAlignment="1" applyProtection="1">
      <alignment horizontal="center"/>
    </xf>
    <xf numFmtId="185" fontId="11" fillId="5" borderId="1" xfId="7" applyNumberFormat="1" applyFont="1" applyFill="1" applyBorder="1" applyAlignment="1" applyProtection="1">
      <alignment horizontal="right"/>
    </xf>
    <xf numFmtId="193" fontId="11" fillId="5" borderId="7" xfId="31" applyNumberFormat="1" applyFont="1" applyFill="1" applyBorder="1" applyAlignment="1" applyProtection="1">
      <alignment horizontal="left"/>
    </xf>
    <xf numFmtId="192" fontId="11" fillId="5" borderId="7" xfId="31" applyNumberFormat="1" applyFont="1" applyFill="1" applyBorder="1" applyAlignment="1" applyProtection="1">
      <alignment horizontal="center"/>
    </xf>
    <xf numFmtId="192" fontId="11" fillId="5" borderId="8" xfId="31" applyNumberFormat="1" applyFont="1" applyFill="1" applyBorder="1" applyAlignment="1" applyProtection="1">
      <alignment horizontal="center"/>
    </xf>
    <xf numFmtId="0" fontId="9" fillId="0" borderId="0" xfId="3" applyFont="1" applyFill="1" applyProtection="1"/>
    <xf numFmtId="0" fontId="11" fillId="5" borderId="0" xfId="3" applyFont="1" applyFill="1" applyBorder="1" applyAlignment="1" applyProtection="1">
      <alignment horizontal="left"/>
    </xf>
    <xf numFmtId="2" fontId="11" fillId="5" borderId="9" xfId="3" applyNumberFormat="1" applyFont="1" applyFill="1" applyBorder="1" applyAlignment="1" applyProtection="1">
      <alignment horizontal="center"/>
    </xf>
    <xf numFmtId="0" fontId="5" fillId="3" borderId="10" xfId="18" applyFont="1" applyFill="1" applyBorder="1" applyAlignment="1" applyProtection="1">
      <alignment vertical="top" wrapText="1"/>
    </xf>
    <xf numFmtId="0" fontId="5" fillId="3" borderId="11" xfId="18" applyFont="1" applyFill="1" applyBorder="1" applyAlignment="1" applyProtection="1">
      <alignment vertical="top" wrapText="1"/>
    </xf>
    <xf numFmtId="170" fontId="13" fillId="0" borderId="0" xfId="5" applyFont="1" applyProtection="1"/>
    <xf numFmtId="37" fontId="38" fillId="0" borderId="0" xfId="18" applyNumberFormat="1" applyFont="1" applyAlignment="1" applyProtection="1">
      <alignment horizontal="center"/>
    </xf>
    <xf numFmtId="37" fontId="34" fillId="0" borderId="0" xfId="18" applyNumberFormat="1" applyFont="1" applyAlignment="1" applyProtection="1">
      <alignment horizontal="center"/>
    </xf>
    <xf numFmtId="0" fontId="3" fillId="0" borderId="1" xfId="33" applyFont="1" applyBorder="1" applyAlignment="1" applyProtection="1">
      <alignment horizontal="center"/>
    </xf>
    <xf numFmtId="0" fontId="11" fillId="13" borderId="2" xfId="34" applyFont="1" applyFill="1" applyBorder="1" applyProtection="1"/>
    <xf numFmtId="0" fontId="11" fillId="13" borderId="3" xfId="34" applyFont="1" applyFill="1" applyBorder="1" applyProtection="1"/>
    <xf numFmtId="0" fontId="11" fillId="0" borderId="0" xfId="34" applyFont="1" applyProtection="1"/>
    <xf numFmtId="0" fontId="41" fillId="0" borderId="0" xfId="35"/>
    <xf numFmtId="0" fontId="42" fillId="14" borderId="4" xfId="34" applyFont="1" applyFill="1" applyBorder="1" applyAlignment="1" applyProtection="1">
      <alignment horizontal="center"/>
    </xf>
    <xf numFmtId="0" fontId="11" fillId="14" borderId="0" xfId="34" applyFont="1" applyFill="1" applyBorder="1" applyProtection="1"/>
    <xf numFmtId="0" fontId="11" fillId="14" borderId="5" xfId="34" applyFont="1" applyFill="1" applyBorder="1" applyProtection="1"/>
    <xf numFmtId="2" fontId="43" fillId="14" borderId="4" xfId="34" applyNumberFormat="1" applyFont="1" applyFill="1" applyBorder="1" applyAlignment="1" applyProtection="1">
      <alignment horizontal="center"/>
    </xf>
    <xf numFmtId="0" fontId="44" fillId="14" borderId="0" xfId="34" applyFont="1" applyFill="1" applyBorder="1" applyProtection="1"/>
    <xf numFmtId="0" fontId="11" fillId="14" borderId="0" xfId="34" applyFont="1" applyFill="1" applyBorder="1" applyAlignment="1" applyProtection="1">
      <alignment horizontal="left"/>
    </xf>
    <xf numFmtId="0" fontId="11" fillId="14" borderId="12" xfId="34" applyFont="1" applyFill="1" applyBorder="1" applyAlignment="1" applyProtection="1">
      <alignment horizontal="center"/>
    </xf>
    <xf numFmtId="0" fontId="11" fillId="14" borderId="2" xfId="34" applyFont="1" applyFill="1" applyBorder="1" applyAlignment="1" applyProtection="1">
      <alignment horizontal="centerContinuous" vertical="center"/>
    </xf>
    <xf numFmtId="0" fontId="11" fillId="14" borderId="3" xfId="34" applyFont="1" applyFill="1" applyBorder="1" applyAlignment="1" applyProtection="1">
      <alignment horizontal="centerContinuous" vertical="center"/>
    </xf>
    <xf numFmtId="0" fontId="11" fillId="0" borderId="0" xfId="34" quotePrefix="1" applyFont="1" applyProtection="1"/>
    <xf numFmtId="0" fontId="11" fillId="14" borderId="4" xfId="34" applyFont="1" applyFill="1" applyBorder="1" applyAlignment="1" applyProtection="1">
      <alignment horizontal="center"/>
    </xf>
    <xf numFmtId="0" fontId="11" fillId="14" borderId="0" xfId="34" applyFont="1" applyFill="1" applyBorder="1" applyAlignment="1" applyProtection="1">
      <alignment horizontal="centerContinuous" vertical="center"/>
    </xf>
    <xf numFmtId="0" fontId="11" fillId="14" borderId="5" xfId="34" applyFont="1" applyFill="1" applyBorder="1" applyAlignment="1" applyProtection="1">
      <alignment horizontal="centerContinuous" vertical="center"/>
    </xf>
    <xf numFmtId="174" fontId="11" fillId="0" borderId="0" xfId="34" applyNumberFormat="1" applyFont="1" applyProtection="1"/>
    <xf numFmtId="0" fontId="11" fillId="14" borderId="9" xfId="34" applyFont="1" applyFill="1" applyBorder="1" applyAlignment="1" applyProtection="1">
      <alignment horizontal="center" vertical="center" wrapText="1"/>
    </xf>
    <xf numFmtId="0" fontId="11" fillId="14" borderId="10" xfId="34" applyFont="1" applyFill="1" applyBorder="1" applyAlignment="1" applyProtection="1">
      <alignment horizontal="right" vertical="center" wrapText="1"/>
    </xf>
    <xf numFmtId="0" fontId="11" fillId="14" borderId="11" xfId="34" applyFont="1" applyFill="1" applyBorder="1" applyAlignment="1" applyProtection="1">
      <alignment horizontal="right" vertical="center" wrapText="1"/>
    </xf>
    <xf numFmtId="0" fontId="11" fillId="14" borderId="13" xfId="34" applyFont="1" applyFill="1" applyBorder="1" applyAlignment="1" applyProtection="1">
      <alignment horizontal="center" vertical="center" wrapText="1"/>
    </xf>
    <xf numFmtId="3" fontId="11" fillId="14" borderId="0" xfId="34" applyNumberFormat="1" applyFont="1" applyFill="1" applyBorder="1" applyAlignment="1" applyProtection="1">
      <alignment horizontal="right" vertical="center" wrapText="1"/>
    </xf>
    <xf numFmtId="3" fontId="11" fillId="14" borderId="5" xfId="34" applyNumberFormat="1" applyFont="1" applyFill="1" applyBorder="1" applyAlignment="1" applyProtection="1">
      <alignment horizontal="right" vertical="center" wrapText="1"/>
    </xf>
    <xf numFmtId="0" fontId="11" fillId="14" borderId="14" xfId="34" applyFont="1" applyFill="1" applyBorder="1" applyAlignment="1" applyProtection="1">
      <alignment horizontal="center" vertical="center" wrapText="1"/>
    </xf>
    <xf numFmtId="0" fontId="11" fillId="14" borderId="15" xfId="34" applyFont="1" applyFill="1" applyBorder="1" applyAlignment="1" applyProtection="1">
      <alignment horizontal="center" vertical="center" wrapText="1"/>
    </xf>
    <xf numFmtId="3" fontId="11" fillId="14" borderId="10" xfId="34" applyNumberFormat="1" applyFont="1" applyFill="1" applyBorder="1" applyAlignment="1" applyProtection="1">
      <alignment horizontal="right" vertical="center" wrapText="1"/>
    </xf>
    <xf numFmtId="3" fontId="11" fillId="14" borderId="11" xfId="34" applyNumberFormat="1" applyFont="1" applyFill="1" applyBorder="1" applyAlignment="1" applyProtection="1">
      <alignment horizontal="right" vertical="center" wrapText="1"/>
    </xf>
    <xf numFmtId="0" fontId="11" fillId="14" borderId="0" xfId="34" applyFont="1" applyFill="1" applyBorder="1" applyAlignment="1" applyProtection="1">
      <alignment vertical="center" wrapText="1"/>
    </xf>
    <xf numFmtId="177" fontId="3" fillId="0" borderId="0" xfId="36" applyNumberFormat="1" applyFont="1" applyProtection="1"/>
    <xf numFmtId="0" fontId="11" fillId="14" borderId="12" xfId="34" applyFont="1" applyFill="1" applyBorder="1" applyAlignment="1" applyProtection="1">
      <alignment horizontal="center" vertical="center" wrapText="1"/>
    </xf>
    <xf numFmtId="3" fontId="11" fillId="14" borderId="2" xfId="34" applyNumberFormat="1" applyFont="1" applyFill="1" applyBorder="1" applyAlignment="1" applyProtection="1">
      <alignment horizontal="right" vertical="center" wrapText="1"/>
    </xf>
    <xf numFmtId="3" fontId="11" fillId="14" borderId="3" xfId="34" applyNumberFormat="1" applyFont="1" applyFill="1" applyBorder="1" applyAlignment="1" applyProtection="1">
      <alignment horizontal="right" vertical="center" wrapText="1"/>
    </xf>
    <xf numFmtId="183" fontId="11" fillId="0" borderId="0" xfId="37" applyNumberFormat="1" applyFont="1" applyProtection="1"/>
    <xf numFmtId="0" fontId="11" fillId="14" borderId="4" xfId="34" applyFont="1" applyFill="1" applyBorder="1" applyAlignment="1" applyProtection="1">
      <alignment horizontal="center" vertical="center" wrapText="1"/>
    </xf>
    <xf numFmtId="0" fontId="11" fillId="14" borderId="0" xfId="34" applyFont="1" applyFill="1" applyBorder="1" applyAlignment="1" applyProtection="1">
      <alignment horizontal="center" vertical="center" wrapText="1"/>
    </xf>
    <xf numFmtId="177" fontId="11" fillId="14" borderId="1" xfId="36" applyNumberFormat="1" applyFont="1" applyFill="1" applyBorder="1" applyProtection="1"/>
    <xf numFmtId="0" fontId="11" fillId="14" borderId="6" xfId="34" applyFont="1" applyFill="1" applyBorder="1" applyProtection="1"/>
    <xf numFmtId="0" fontId="11" fillId="14" borderId="7" xfId="34" applyFont="1" applyFill="1" applyBorder="1" applyAlignment="1" applyProtection="1">
      <alignment vertical="center" wrapText="1"/>
    </xf>
    <xf numFmtId="0" fontId="11" fillId="14" borderId="8" xfId="34" applyFont="1" applyFill="1" applyBorder="1" applyProtection="1"/>
    <xf numFmtId="183" fontId="11" fillId="0" borderId="0" xfId="37" quotePrefix="1" applyNumberFormat="1" applyFont="1" applyProtection="1"/>
    <xf numFmtId="0" fontId="11" fillId="0" borderId="0" xfId="34" applyFont="1" applyAlignment="1" applyProtection="1"/>
    <xf numFmtId="183" fontId="11" fillId="0" borderId="0" xfId="37" applyNumberFormat="1" applyFont="1" applyAlignment="1" applyProtection="1"/>
    <xf numFmtId="0" fontId="11" fillId="14" borderId="0" xfId="34" applyFont="1" applyFill="1" applyBorder="1" applyAlignment="1" applyProtection="1"/>
    <xf numFmtId="0" fontId="11" fillId="14" borderId="5" xfId="34" applyFont="1" applyFill="1" applyBorder="1" applyAlignment="1" applyProtection="1"/>
    <xf numFmtId="177" fontId="3" fillId="0" borderId="0" xfId="34" applyNumberFormat="1" applyFont="1" applyAlignment="1" applyProtection="1"/>
    <xf numFmtId="2" fontId="11" fillId="14" borderId="4" xfId="34" applyNumberFormat="1" applyFont="1" applyFill="1" applyBorder="1" applyAlignment="1" applyProtection="1">
      <alignment horizontal="center"/>
    </xf>
    <xf numFmtId="2" fontId="11" fillId="14" borderId="9" xfId="34" applyNumberFormat="1" applyFont="1" applyFill="1" applyBorder="1" applyAlignment="1" applyProtection="1">
      <alignment horizontal="center"/>
    </xf>
    <xf numFmtId="0" fontId="11" fillId="14" borderId="10" xfId="34" applyFont="1" applyFill="1" applyBorder="1" applyAlignment="1" applyProtection="1"/>
    <xf numFmtId="0" fontId="11" fillId="14" borderId="11" xfId="34" applyFont="1" applyFill="1" applyBorder="1" applyAlignment="1" applyProtection="1"/>
    <xf numFmtId="0" fontId="41" fillId="0" borderId="0" xfId="35" applyBorder="1"/>
    <xf numFmtId="0" fontId="5" fillId="3" borderId="2" xfId="38" applyFont="1" applyFill="1" applyBorder="1" applyProtection="1"/>
    <xf numFmtId="0" fontId="10" fillId="3" borderId="2" xfId="38" applyFont="1" applyFill="1" applyBorder="1" applyProtection="1"/>
    <xf numFmtId="0" fontId="10" fillId="3" borderId="3" xfId="38" applyFont="1" applyFill="1" applyBorder="1" applyProtection="1"/>
    <xf numFmtId="0" fontId="11" fillId="0" borderId="0" xfId="38" applyFont="1" applyProtection="1"/>
    <xf numFmtId="0" fontId="8" fillId="5" borderId="4" xfId="38" applyFont="1" applyFill="1" applyBorder="1" applyAlignment="1" applyProtection="1">
      <alignment horizontal="center"/>
    </xf>
    <xf numFmtId="0" fontId="10" fillId="5" borderId="0" xfId="38" applyFont="1" applyFill="1" applyBorder="1" applyProtection="1"/>
    <xf numFmtId="0" fontId="10" fillId="5" borderId="5" xfId="38" applyFont="1" applyFill="1" applyBorder="1" applyProtection="1"/>
    <xf numFmtId="2" fontId="9" fillId="5" borderId="4" xfId="38" applyNumberFormat="1" applyFont="1" applyFill="1" applyBorder="1" applyAlignment="1" applyProtection="1">
      <alignment horizontal="center"/>
    </xf>
    <xf numFmtId="2" fontId="9" fillId="5" borderId="4" xfId="38" applyNumberFormat="1" applyFont="1" applyFill="1" applyBorder="1" applyProtection="1"/>
    <xf numFmtId="0" fontId="10" fillId="5" borderId="0" xfId="38" applyFont="1" applyFill="1" applyBorder="1" applyAlignment="1" applyProtection="1">
      <alignment horizontal="left"/>
    </xf>
    <xf numFmtId="0" fontId="10" fillId="5" borderId="0" xfId="38" applyFont="1" applyFill="1" applyBorder="1" applyAlignment="1" applyProtection="1"/>
    <xf numFmtId="0" fontId="10" fillId="5" borderId="5" xfId="38" applyFont="1" applyFill="1" applyBorder="1" applyAlignment="1" applyProtection="1"/>
    <xf numFmtId="0" fontId="18" fillId="0" borderId="0" xfId="38" applyFont="1" applyProtection="1"/>
    <xf numFmtId="2" fontId="9" fillId="4" borderId="4" xfId="38" applyNumberFormat="1" applyFont="1" applyFill="1" applyBorder="1" applyProtection="1"/>
    <xf numFmtId="0" fontId="10" fillId="3" borderId="0" xfId="38" applyFont="1" applyFill="1" applyBorder="1" applyAlignment="1" applyProtection="1">
      <alignment horizontal="center"/>
    </xf>
    <xf numFmtId="0" fontId="10" fillId="3" borderId="12" xfId="38" applyFont="1" applyFill="1" applyBorder="1" applyAlignment="1" applyProtection="1">
      <alignment horizontal="center"/>
    </xf>
    <xf numFmtId="0" fontId="10" fillId="3" borderId="2" xfId="38" applyFont="1" applyFill="1" applyBorder="1" applyAlignment="1" applyProtection="1">
      <alignment horizontal="right"/>
    </xf>
    <xf numFmtId="0" fontId="10" fillId="3" borderId="3" xfId="38" applyFont="1" applyFill="1" applyBorder="1" applyAlignment="1" applyProtection="1">
      <alignment horizontal="right"/>
    </xf>
    <xf numFmtId="0" fontId="10" fillId="3" borderId="0" xfId="38" applyFont="1" applyFill="1" applyBorder="1" applyProtection="1"/>
    <xf numFmtId="0" fontId="10" fillId="3" borderId="5" xfId="38" applyFont="1" applyFill="1" applyBorder="1" applyProtection="1"/>
    <xf numFmtId="0" fontId="10" fillId="3" borderId="4" xfId="38" applyFont="1" applyFill="1" applyBorder="1" applyAlignment="1" applyProtection="1">
      <alignment horizontal="center"/>
    </xf>
    <xf numFmtId="0" fontId="10" fillId="3" borderId="0" xfId="38" applyFont="1" applyFill="1" applyBorder="1" applyAlignment="1" applyProtection="1">
      <alignment horizontal="right"/>
    </xf>
    <xf numFmtId="0" fontId="10" fillId="3" borderId="5" xfId="38" applyFont="1" applyFill="1" applyBorder="1" applyAlignment="1" applyProtection="1">
      <alignment horizontal="right"/>
    </xf>
    <xf numFmtId="0" fontId="10" fillId="3" borderId="9" xfId="38" applyFont="1" applyFill="1" applyBorder="1" applyAlignment="1" applyProtection="1">
      <alignment horizontal="center"/>
    </xf>
    <xf numFmtId="0" fontId="10" fillId="3" borderId="11" xfId="38" applyFont="1" applyFill="1" applyBorder="1" applyAlignment="1" applyProtection="1">
      <alignment horizontal="right"/>
    </xf>
    <xf numFmtId="0" fontId="10" fillId="3" borderId="10" xfId="38" applyFont="1" applyFill="1" applyBorder="1" applyAlignment="1" applyProtection="1">
      <alignment horizontal="right"/>
    </xf>
    <xf numFmtId="0" fontId="11" fillId="4" borderId="13" xfId="38" applyFont="1" applyFill="1" applyBorder="1" applyAlignment="1" applyProtection="1">
      <alignment horizontal="center" wrapText="1"/>
    </xf>
    <xf numFmtId="3" fontId="11" fillId="4" borderId="13" xfId="38" applyNumberFormat="1" applyFont="1" applyFill="1" applyBorder="1" applyAlignment="1" applyProtection="1">
      <alignment horizontal="right" wrapText="1"/>
    </xf>
    <xf numFmtId="0" fontId="10" fillId="4" borderId="0" xfId="38" applyFont="1" applyFill="1" applyBorder="1" applyAlignment="1" applyProtection="1"/>
    <xf numFmtId="9" fontId="11" fillId="4" borderId="12" xfId="13" applyFont="1" applyFill="1" applyBorder="1" applyAlignment="1" applyProtection="1">
      <alignment horizontal="right" wrapText="1"/>
    </xf>
    <xf numFmtId="9" fontId="11" fillId="4" borderId="3" xfId="13" applyFont="1" applyFill="1" applyBorder="1" applyAlignment="1" applyProtection="1">
      <alignment horizontal="right" wrapText="1"/>
    </xf>
    <xf numFmtId="0" fontId="32" fillId="4" borderId="0" xfId="38" applyFont="1" applyFill="1" applyBorder="1" applyAlignment="1" applyProtection="1">
      <alignment horizontal="center" vertical="center"/>
    </xf>
    <xf numFmtId="0" fontId="32" fillId="4" borderId="5" xfId="38" applyFont="1" applyFill="1" applyBorder="1" applyAlignment="1" applyProtection="1">
      <alignment horizontal="center" vertical="center"/>
    </xf>
    <xf numFmtId="0" fontId="11" fillId="4" borderId="14" xfId="38" applyFont="1" applyFill="1" applyBorder="1" applyAlignment="1" applyProtection="1">
      <alignment horizontal="center" wrapText="1"/>
    </xf>
    <xf numFmtId="3" fontId="11" fillId="4" borderId="14" xfId="38" applyNumberFormat="1" applyFont="1" applyFill="1" applyBorder="1" applyAlignment="1" applyProtection="1">
      <alignment horizontal="right" wrapText="1"/>
    </xf>
    <xf numFmtId="9" fontId="11" fillId="4" borderId="4" xfId="13" applyFont="1" applyFill="1" applyBorder="1" applyAlignment="1" applyProtection="1">
      <alignment horizontal="right" wrapText="1"/>
    </xf>
    <xf numFmtId="9" fontId="11" fillId="4" borderId="5" xfId="13" applyFont="1" applyFill="1" applyBorder="1" applyAlignment="1" applyProtection="1">
      <alignment horizontal="right" wrapText="1"/>
    </xf>
    <xf numFmtId="0" fontId="11" fillId="4" borderId="15" xfId="38" applyFont="1" applyFill="1" applyBorder="1" applyAlignment="1" applyProtection="1">
      <alignment horizontal="center"/>
    </xf>
    <xf numFmtId="3" fontId="11" fillId="4" borderId="15" xfId="38" applyNumberFormat="1" applyFont="1" applyFill="1" applyBorder="1" applyAlignment="1" applyProtection="1">
      <alignment horizontal="right" wrapText="1"/>
    </xf>
    <xf numFmtId="0" fontId="11" fillId="4" borderId="15" xfId="38" applyFont="1" applyFill="1" applyBorder="1" applyAlignment="1" applyProtection="1">
      <alignment horizontal="center" wrapText="1"/>
    </xf>
    <xf numFmtId="9" fontId="11" fillId="4" borderId="9" xfId="13" applyFont="1" applyFill="1" applyBorder="1" applyAlignment="1" applyProtection="1">
      <alignment horizontal="right" wrapText="1"/>
    </xf>
    <xf numFmtId="9" fontId="11" fillId="4" borderId="11" xfId="13" applyFont="1" applyFill="1" applyBorder="1" applyAlignment="1" applyProtection="1">
      <alignment horizontal="right" wrapText="1"/>
    </xf>
    <xf numFmtId="0" fontId="10" fillId="3" borderId="0" xfId="38" applyFont="1" applyFill="1" applyProtection="1"/>
    <xf numFmtId="0" fontId="11" fillId="4" borderId="0" xfId="38" applyFont="1" applyFill="1" applyBorder="1" applyAlignment="1" applyProtection="1">
      <alignment horizontal="center"/>
    </xf>
    <xf numFmtId="9" fontId="11" fillId="4" borderId="0" xfId="13" applyFont="1" applyFill="1" applyBorder="1" applyAlignment="1" applyProtection="1">
      <alignment horizontal="center" wrapText="1"/>
    </xf>
    <xf numFmtId="3" fontId="11" fillId="4" borderId="0" xfId="38" applyNumberFormat="1" applyFont="1" applyFill="1" applyBorder="1" applyAlignment="1" applyProtection="1">
      <alignment horizontal="center" wrapText="1"/>
    </xf>
    <xf numFmtId="0" fontId="11" fillId="4" borderId="12" xfId="38" applyFont="1" applyFill="1" applyBorder="1" applyAlignment="1" applyProtection="1">
      <alignment horizontal="center"/>
    </xf>
    <xf numFmtId="3" fontId="11" fillId="4" borderId="2" xfId="38" applyNumberFormat="1" applyFont="1" applyFill="1" applyBorder="1" applyAlignment="1" applyProtection="1">
      <alignment horizontal="centerContinuous" vertical="center"/>
    </xf>
    <xf numFmtId="3" fontId="11" fillId="4" borderId="3" xfId="38" applyNumberFormat="1" applyFont="1" applyFill="1" applyBorder="1" applyAlignment="1" applyProtection="1">
      <alignment horizontal="centerContinuous" vertical="center"/>
    </xf>
    <xf numFmtId="9" fontId="11" fillId="4" borderId="0" xfId="13" applyFont="1" applyFill="1" applyBorder="1" applyAlignment="1" applyProtection="1">
      <alignment wrapText="1"/>
    </xf>
    <xf numFmtId="0" fontId="11" fillId="3" borderId="9" xfId="38" applyFont="1" applyFill="1" applyBorder="1" applyAlignment="1" applyProtection="1">
      <alignment horizontal="center"/>
    </xf>
    <xf numFmtId="0" fontId="11" fillId="3" borderId="10" xfId="38" applyFont="1" applyFill="1" applyBorder="1" applyAlignment="1" applyProtection="1">
      <alignment horizontal="center"/>
    </xf>
    <xf numFmtId="0" fontId="11" fillId="3" borderId="11" xfId="38" applyFont="1" applyFill="1" applyBorder="1" applyAlignment="1" applyProtection="1">
      <alignment horizontal="center"/>
    </xf>
    <xf numFmtId="0" fontId="45" fillId="3" borderId="0" xfId="38" applyFont="1" applyFill="1" applyBorder="1" applyAlignment="1" applyProtection="1">
      <alignment horizontal="center"/>
    </xf>
    <xf numFmtId="0" fontId="11" fillId="3" borderId="13" xfId="38" applyFont="1" applyFill="1" applyBorder="1" applyAlignment="1" applyProtection="1">
      <alignment horizontal="center"/>
    </xf>
    <xf numFmtId="177" fontId="11" fillId="3" borderId="12" xfId="5" applyNumberFormat="1" applyFont="1" applyFill="1" applyBorder="1" applyAlignment="1" applyProtection="1">
      <alignment horizontal="center"/>
    </xf>
    <xf numFmtId="3" fontId="11" fillId="3" borderId="2" xfId="5" applyNumberFormat="1" applyFont="1" applyFill="1" applyBorder="1" applyAlignment="1" applyProtection="1">
      <alignment horizontal="center"/>
    </xf>
    <xf numFmtId="3" fontId="11" fillId="3" borderId="3" xfId="5" applyNumberFormat="1" applyFont="1" applyFill="1" applyBorder="1" applyAlignment="1" applyProtection="1">
      <alignment horizontal="center"/>
    </xf>
    <xf numFmtId="3" fontId="11" fillId="3" borderId="0" xfId="5" applyNumberFormat="1" applyFont="1" applyFill="1" applyBorder="1" applyAlignment="1" applyProtection="1">
      <alignment horizontal="center"/>
    </xf>
    <xf numFmtId="0" fontId="11" fillId="3" borderId="14" xfId="38" applyFont="1" applyFill="1" applyBorder="1" applyAlignment="1" applyProtection="1">
      <alignment horizontal="center"/>
    </xf>
    <xf numFmtId="177" fontId="11" fillId="3" borderId="4" xfId="5" applyNumberFormat="1" applyFont="1" applyFill="1" applyBorder="1" applyAlignment="1" applyProtection="1">
      <alignment horizontal="center"/>
    </xf>
    <xf numFmtId="3" fontId="11" fillId="3" borderId="5" xfId="5" applyNumberFormat="1" applyFont="1" applyFill="1" applyBorder="1" applyAlignment="1" applyProtection="1">
      <alignment horizontal="center"/>
    </xf>
    <xf numFmtId="0" fontId="11" fillId="3" borderId="15" xfId="38" applyFont="1" applyFill="1" applyBorder="1" applyAlignment="1" applyProtection="1">
      <alignment horizontal="center"/>
    </xf>
    <xf numFmtId="177" fontId="11" fillId="3" borderId="9" xfId="5" applyNumberFormat="1" applyFont="1" applyFill="1" applyBorder="1" applyAlignment="1" applyProtection="1">
      <alignment horizontal="center"/>
    </xf>
    <xf numFmtId="3" fontId="11" fillId="3" borderId="10" xfId="5" applyNumberFormat="1" applyFont="1" applyFill="1" applyBorder="1" applyAlignment="1" applyProtection="1">
      <alignment horizontal="center"/>
    </xf>
    <xf numFmtId="3" fontId="11" fillId="3" borderId="11" xfId="5" applyNumberFormat="1" applyFont="1" applyFill="1" applyBorder="1" applyAlignment="1" applyProtection="1">
      <alignment horizontal="center"/>
    </xf>
    <xf numFmtId="185" fontId="11" fillId="5" borderId="13" xfId="38" applyNumberFormat="1" applyFont="1" applyFill="1" applyBorder="1" applyAlignment="1" applyProtection="1">
      <alignment horizontal="right" wrapText="1"/>
    </xf>
    <xf numFmtId="3" fontId="11" fillId="5" borderId="12" xfId="38" applyNumberFormat="1" applyFont="1" applyFill="1" applyBorder="1" applyAlignment="1" applyProtection="1">
      <alignment horizontal="left"/>
    </xf>
    <xf numFmtId="3" fontId="11" fillId="5" borderId="2" xfId="38" applyNumberFormat="1" applyFont="1" applyFill="1" applyBorder="1" applyAlignment="1" applyProtection="1">
      <alignment horizontal="left" wrapText="1"/>
    </xf>
    <xf numFmtId="3" fontId="11" fillId="5" borderId="3" xfId="38" applyNumberFormat="1" applyFont="1" applyFill="1" applyBorder="1" applyAlignment="1" applyProtection="1">
      <alignment horizontal="left" wrapText="1"/>
    </xf>
    <xf numFmtId="9" fontId="11" fillId="5" borderId="14" xfId="13" applyFont="1" applyFill="1" applyBorder="1" applyAlignment="1" applyProtection="1">
      <alignment horizontal="right" wrapText="1"/>
    </xf>
    <xf numFmtId="3" fontId="11" fillId="5" borderId="4" xfId="38" applyNumberFormat="1" applyFont="1" applyFill="1" applyBorder="1" applyAlignment="1" applyProtection="1">
      <alignment horizontal="left"/>
    </xf>
    <xf numFmtId="3" fontId="11" fillId="5" borderId="0" xfId="38" applyNumberFormat="1" applyFont="1" applyFill="1" applyBorder="1" applyAlignment="1" applyProtection="1">
      <alignment horizontal="left" wrapText="1"/>
    </xf>
    <xf numFmtId="3" fontId="11" fillId="5" borderId="5" xfId="38" applyNumberFormat="1" applyFont="1" applyFill="1" applyBorder="1" applyAlignment="1" applyProtection="1">
      <alignment horizontal="left" wrapText="1"/>
    </xf>
    <xf numFmtId="3" fontId="11" fillId="5" borderId="15" xfId="38" applyNumberFormat="1" applyFont="1" applyFill="1" applyBorder="1" applyAlignment="1" applyProtection="1">
      <alignment horizontal="right" wrapText="1"/>
    </xf>
    <xf numFmtId="3" fontId="11" fillId="5" borderId="9" xfId="38" applyNumberFormat="1" applyFont="1" applyFill="1" applyBorder="1" applyAlignment="1" applyProtection="1">
      <alignment horizontal="left"/>
    </xf>
    <xf numFmtId="3" fontId="11" fillId="5" borderId="10" xfId="38" applyNumberFormat="1" applyFont="1" applyFill="1" applyBorder="1" applyAlignment="1" applyProtection="1">
      <alignment horizontal="left" wrapText="1"/>
    </xf>
    <xf numFmtId="3" fontId="11" fillId="5" borderId="11" xfId="38" applyNumberFormat="1" applyFont="1" applyFill="1" applyBorder="1" applyAlignment="1" applyProtection="1">
      <alignment horizontal="left" wrapText="1"/>
    </xf>
    <xf numFmtId="0" fontId="10" fillId="4" borderId="0" xfId="38" applyFont="1" applyFill="1" applyBorder="1" applyAlignment="1" applyProtection="1">
      <alignment horizontal="left"/>
    </xf>
    <xf numFmtId="0" fontId="10" fillId="4" borderId="0" xfId="38" applyFont="1" applyFill="1" applyBorder="1" applyAlignment="1" applyProtection="1">
      <alignment horizontal="center" vertical="center"/>
    </xf>
    <xf numFmtId="3" fontId="10" fillId="4" borderId="0" xfId="38" applyNumberFormat="1" applyFont="1" applyFill="1" applyBorder="1" applyAlignment="1" applyProtection="1">
      <alignment horizontal="right" vertical="center"/>
    </xf>
    <xf numFmtId="0" fontId="10" fillId="4" borderId="0" xfId="38" applyFont="1" applyFill="1" applyBorder="1" applyAlignment="1" applyProtection="1">
      <alignment horizontal="right" vertical="center"/>
    </xf>
    <xf numFmtId="0" fontId="10" fillId="4" borderId="0" xfId="38" applyFont="1" applyFill="1" applyBorder="1" applyAlignment="1" applyProtection="1">
      <alignment vertical="center"/>
    </xf>
    <xf numFmtId="3" fontId="10" fillId="4" borderId="5" xfId="38" applyNumberFormat="1" applyFont="1" applyFill="1" applyBorder="1" applyAlignment="1" applyProtection="1">
      <alignment horizontal="right" vertical="center"/>
    </xf>
    <xf numFmtId="0" fontId="11" fillId="3" borderId="9" xfId="38" applyFont="1" applyFill="1" applyBorder="1" applyProtection="1"/>
    <xf numFmtId="0" fontId="10" fillId="5" borderId="10" xfId="38" applyFont="1" applyFill="1" applyBorder="1" applyAlignment="1" applyProtection="1">
      <alignment horizontal="left"/>
    </xf>
    <xf numFmtId="0" fontId="32" fillId="5" borderId="10" xfId="38" applyFont="1" applyFill="1" applyBorder="1" applyAlignment="1" applyProtection="1">
      <alignment horizontal="center" vertical="center"/>
    </xf>
    <xf numFmtId="0" fontId="10" fillId="5" borderId="10" xfId="38" applyFont="1" applyFill="1" applyBorder="1" applyAlignment="1" applyProtection="1">
      <alignment vertical="center"/>
    </xf>
    <xf numFmtId="0" fontId="32" fillId="5" borderId="11" xfId="38" applyFont="1" applyFill="1" applyBorder="1" applyAlignment="1" applyProtection="1">
      <alignment horizontal="center" vertical="center"/>
    </xf>
    <xf numFmtId="194" fontId="11" fillId="0" borderId="0" xfId="7" applyNumberFormat="1" applyFont="1" applyProtection="1"/>
    <xf numFmtId="3" fontId="11" fillId="0" borderId="0" xfId="38" applyNumberFormat="1" applyFont="1" applyProtection="1"/>
    <xf numFmtId="194" fontId="11" fillId="0" borderId="0" xfId="38" applyNumberFormat="1" applyFont="1" applyProtection="1"/>
    <xf numFmtId="0" fontId="10" fillId="3" borderId="13" xfId="38" applyFont="1" applyFill="1" applyBorder="1" applyAlignment="1" applyProtection="1">
      <alignment horizontal="center"/>
    </xf>
    <xf numFmtId="0" fontId="10" fillId="3" borderId="15" xfId="38" applyFont="1" applyFill="1" applyBorder="1" applyAlignment="1" applyProtection="1">
      <alignment horizontal="center"/>
    </xf>
    <xf numFmtId="3" fontId="11" fillId="4" borderId="13" xfId="38" applyNumberFormat="1" applyFont="1" applyFill="1" applyBorder="1" applyAlignment="1" applyProtection="1">
      <alignment horizontal="center" wrapText="1"/>
    </xf>
    <xf numFmtId="3" fontId="11" fillId="4" borderId="14" xfId="38" applyNumberFormat="1" applyFont="1" applyFill="1" applyBorder="1" applyAlignment="1" applyProtection="1">
      <alignment horizontal="center" wrapText="1"/>
    </xf>
    <xf numFmtId="3" fontId="11" fillId="4" borderId="15" xfId="38" applyNumberFormat="1" applyFont="1" applyFill="1" applyBorder="1" applyAlignment="1" applyProtection="1">
      <alignment horizontal="center" wrapText="1"/>
    </xf>
    <xf numFmtId="0" fontId="11" fillId="6" borderId="0" xfId="38" applyFont="1" applyFill="1" applyProtection="1"/>
    <xf numFmtId="0" fontId="25" fillId="3" borderId="2" xfId="1" applyFont="1" applyFill="1" applyBorder="1" applyProtection="1"/>
    <xf numFmtId="0" fontId="25" fillId="3" borderId="3" xfId="1" applyFont="1" applyFill="1" applyBorder="1" applyProtection="1"/>
    <xf numFmtId="0" fontId="25" fillId="0" borderId="0" xfId="1" applyFont="1" applyProtection="1"/>
    <xf numFmtId="0" fontId="27" fillId="5" borderId="12" xfId="38" applyFont="1" applyFill="1" applyBorder="1" applyAlignment="1" applyProtection="1">
      <alignment horizontal="center"/>
    </xf>
    <xf numFmtId="0" fontId="27" fillId="5" borderId="12" xfId="38" applyFont="1" applyFill="1" applyBorder="1" applyAlignment="1" applyProtection="1">
      <alignment horizontal="centerContinuous"/>
    </xf>
    <xf numFmtId="0" fontId="27" fillId="5" borderId="2" xfId="38" applyFont="1" applyFill="1" applyBorder="1" applyAlignment="1" applyProtection="1">
      <alignment horizontal="centerContinuous"/>
    </xf>
    <xf numFmtId="0" fontId="27" fillId="5" borderId="3" xfId="38" applyFont="1" applyFill="1" applyBorder="1" applyAlignment="1" applyProtection="1">
      <alignment horizontal="centerContinuous"/>
    </xf>
    <xf numFmtId="0" fontId="28" fillId="5" borderId="4" xfId="38" applyFont="1" applyFill="1" applyBorder="1" applyAlignment="1" applyProtection="1">
      <alignment horizontal="center"/>
    </xf>
    <xf numFmtId="0" fontId="30" fillId="5" borderId="0" xfId="38" applyFont="1" applyFill="1" applyBorder="1" applyAlignment="1" applyProtection="1"/>
    <xf numFmtId="0" fontId="25" fillId="3" borderId="0" xfId="1" applyFont="1" applyFill="1" applyBorder="1" applyProtection="1"/>
    <xf numFmtId="0" fontId="25" fillId="3" borderId="5" xfId="1" applyFont="1" applyFill="1" applyBorder="1" applyProtection="1"/>
    <xf numFmtId="0" fontId="27" fillId="5" borderId="4" xfId="38" applyFont="1" applyFill="1" applyBorder="1" applyAlignment="1" applyProtection="1">
      <alignment horizontal="center"/>
    </xf>
    <xf numFmtId="0" fontId="27" fillId="5" borderId="4" xfId="38" applyFont="1" applyFill="1" applyBorder="1" applyAlignment="1" applyProtection="1">
      <alignment horizontal="centerContinuous"/>
    </xf>
    <xf numFmtId="0" fontId="27" fillId="5" borderId="0" xfId="38" applyFont="1" applyFill="1" applyBorder="1" applyAlignment="1" applyProtection="1">
      <alignment horizontal="centerContinuous"/>
    </xf>
    <xf numFmtId="0" fontId="27" fillId="5" borderId="5" xfId="38" applyFont="1" applyFill="1" applyBorder="1" applyAlignment="1" applyProtection="1">
      <alignment horizontal="centerContinuous"/>
    </xf>
    <xf numFmtId="2" fontId="29" fillId="5" borderId="4" xfId="38" applyNumberFormat="1" applyFont="1" applyFill="1" applyBorder="1" applyAlignment="1" applyProtection="1">
      <alignment horizontal="center"/>
    </xf>
    <xf numFmtId="0" fontId="27" fillId="5" borderId="9" xfId="38" applyFont="1" applyFill="1" applyBorder="1" applyAlignment="1" applyProtection="1">
      <alignment horizontal="center"/>
    </xf>
    <xf numFmtId="0" fontId="27" fillId="5" borderId="9" xfId="38" quotePrefix="1" applyFont="1" applyFill="1" applyBorder="1" applyAlignment="1" applyProtection="1">
      <alignment horizontal="right"/>
    </xf>
    <xf numFmtId="0" fontId="27" fillId="5" borderId="10" xfId="38" applyFont="1" applyFill="1" applyBorder="1" applyAlignment="1" applyProtection="1">
      <alignment horizontal="right"/>
    </xf>
    <xf numFmtId="0" fontId="27" fillId="5" borderId="11" xfId="38" applyFont="1" applyFill="1" applyBorder="1" applyAlignment="1" applyProtection="1">
      <alignment horizontal="right"/>
    </xf>
    <xf numFmtId="0" fontId="30" fillId="5" borderId="0" xfId="38" applyFont="1" applyFill="1" applyBorder="1" applyAlignment="1" applyProtection="1">
      <alignment horizontal="left"/>
    </xf>
    <xf numFmtId="0" fontId="46" fillId="5" borderId="0" xfId="38" applyFont="1" applyFill="1" applyBorder="1" applyAlignment="1" applyProtection="1"/>
    <xf numFmtId="0" fontId="27" fillId="5" borderId="13" xfId="38" applyFont="1" applyFill="1" applyBorder="1" applyAlignment="1" applyProtection="1">
      <alignment horizontal="center"/>
    </xf>
    <xf numFmtId="4" fontId="27" fillId="5" borderId="1" xfId="38" applyNumberFormat="1" applyFont="1" applyFill="1" applyBorder="1" applyAlignment="1" applyProtection="1">
      <alignment horizontal="right"/>
    </xf>
    <xf numFmtId="0" fontId="27" fillId="5" borderId="14" xfId="38" applyFont="1" applyFill="1" applyBorder="1" applyAlignment="1" applyProtection="1">
      <alignment horizontal="center"/>
    </xf>
    <xf numFmtId="177" fontId="25" fillId="3" borderId="13" xfId="5" applyNumberFormat="1" applyFont="1" applyFill="1" applyBorder="1" applyAlignment="1" applyProtection="1">
      <alignment horizontal="right"/>
    </xf>
    <xf numFmtId="177" fontId="25" fillId="3" borderId="14" xfId="5" applyNumberFormat="1" applyFont="1" applyFill="1" applyBorder="1" applyAlignment="1" applyProtection="1">
      <alignment horizontal="right"/>
    </xf>
    <xf numFmtId="177" fontId="25" fillId="3" borderId="15" xfId="5" applyNumberFormat="1" applyFont="1" applyFill="1" applyBorder="1" applyAlignment="1" applyProtection="1">
      <alignment horizontal="right"/>
    </xf>
    <xf numFmtId="0" fontId="27" fillId="5" borderId="15" xfId="38" applyFont="1" applyFill="1" applyBorder="1" applyAlignment="1" applyProtection="1">
      <alignment horizontal="center"/>
    </xf>
    <xf numFmtId="180" fontId="46" fillId="5" borderId="11" xfId="38" applyNumberFormat="1" applyFont="1" applyFill="1" applyBorder="1" applyAlignment="1" applyProtection="1">
      <alignment horizontal="right" vertical="center"/>
    </xf>
    <xf numFmtId="3" fontId="27" fillId="5" borderId="12" xfId="38" applyNumberFormat="1" applyFont="1" applyFill="1" applyBorder="1" applyAlignment="1" applyProtection="1">
      <alignment horizontal="right"/>
    </xf>
    <xf numFmtId="3" fontId="27" fillId="5" borderId="2" xfId="38" applyNumberFormat="1" applyFont="1" applyFill="1" applyBorder="1" applyAlignment="1" applyProtection="1">
      <alignment horizontal="right"/>
    </xf>
    <xf numFmtId="3" fontId="27" fillId="5" borderId="3" xfId="38" applyNumberFormat="1" applyFont="1" applyFill="1" applyBorder="1" applyAlignment="1" applyProtection="1">
      <alignment horizontal="right"/>
    </xf>
    <xf numFmtId="3" fontId="27" fillId="5" borderId="4" xfId="38" applyNumberFormat="1" applyFont="1" applyFill="1" applyBorder="1" applyAlignment="1" applyProtection="1">
      <alignment horizontal="right"/>
    </xf>
    <xf numFmtId="3" fontId="27" fillId="5" borderId="0" xfId="38" applyNumberFormat="1" applyFont="1" applyFill="1" applyBorder="1" applyAlignment="1" applyProtection="1">
      <alignment horizontal="right"/>
    </xf>
    <xf numFmtId="3" fontId="46" fillId="5" borderId="5" xfId="38" applyNumberFormat="1" applyFont="1" applyFill="1" applyBorder="1" applyAlignment="1" applyProtection="1">
      <alignment horizontal="right" vertical="center"/>
    </xf>
    <xf numFmtId="3" fontId="46" fillId="5" borderId="0" xfId="38" applyNumberFormat="1" applyFont="1" applyFill="1" applyBorder="1" applyAlignment="1" applyProtection="1">
      <alignment horizontal="right" vertical="center"/>
    </xf>
    <xf numFmtId="0" fontId="25" fillId="6" borderId="0" xfId="1" applyFont="1" applyFill="1" applyProtection="1"/>
    <xf numFmtId="194" fontId="25" fillId="6" borderId="0" xfId="7" applyNumberFormat="1" applyFont="1" applyFill="1" applyProtection="1"/>
    <xf numFmtId="3" fontId="27" fillId="5" borderId="9" xfId="38" applyNumberFormat="1" applyFont="1" applyFill="1" applyBorder="1" applyAlignment="1" applyProtection="1">
      <alignment horizontal="right"/>
    </xf>
    <xf numFmtId="3" fontId="46" fillId="5" borderId="10" xfId="38" applyNumberFormat="1" applyFont="1" applyFill="1" applyBorder="1" applyAlignment="1" applyProtection="1">
      <alignment horizontal="right" vertical="center"/>
    </xf>
    <xf numFmtId="3" fontId="46" fillId="5" borderId="11" xfId="38" applyNumberFormat="1" applyFont="1" applyFill="1" applyBorder="1" applyAlignment="1" applyProtection="1">
      <alignment horizontal="right" vertical="center"/>
    </xf>
    <xf numFmtId="0" fontId="30" fillId="5" borderId="0" xfId="38" applyFont="1" applyFill="1" applyBorder="1" applyAlignment="1" applyProtection="1">
      <alignment horizontal="center"/>
    </xf>
    <xf numFmtId="14" fontId="47" fillId="5" borderId="0" xfId="38" applyNumberFormat="1" applyFont="1" applyFill="1" applyBorder="1" applyAlignment="1" applyProtection="1">
      <alignment horizontal="center"/>
    </xf>
    <xf numFmtId="0" fontId="47" fillId="5" borderId="0" xfId="24" applyNumberFormat="1" applyFont="1" applyFill="1" applyBorder="1" applyAlignment="1" applyProtection="1">
      <alignment horizontal="center"/>
    </xf>
    <xf numFmtId="177" fontId="25" fillId="0" borderId="0" xfId="1" applyNumberFormat="1" applyFont="1" applyProtection="1"/>
    <xf numFmtId="180" fontId="27" fillId="5" borderId="13" xfId="38" applyNumberFormat="1" applyFont="1" applyFill="1" applyBorder="1" applyAlignment="1" applyProtection="1">
      <alignment horizontal="right"/>
    </xf>
    <xf numFmtId="3" fontId="27" fillId="5" borderId="2" xfId="38" applyNumberFormat="1" applyFont="1" applyFill="1" applyBorder="1" applyAlignment="1" applyProtection="1">
      <alignment horizontal="left"/>
    </xf>
    <xf numFmtId="3" fontId="27" fillId="5" borderId="3" xfId="38" applyNumberFormat="1" applyFont="1" applyFill="1" applyBorder="1" applyAlignment="1" applyProtection="1">
      <alignment horizontal="left"/>
    </xf>
    <xf numFmtId="170" fontId="25" fillId="0" borderId="0" xfId="1" applyNumberFormat="1" applyFont="1" applyProtection="1"/>
    <xf numFmtId="9" fontId="27" fillId="5" borderId="15" xfId="13" applyFont="1" applyFill="1" applyBorder="1" applyAlignment="1" applyProtection="1">
      <alignment horizontal="right"/>
    </xf>
    <xf numFmtId="3" fontId="27" fillId="5" borderId="10" xfId="38" applyNumberFormat="1" applyFont="1" applyFill="1" applyBorder="1" applyAlignment="1" applyProtection="1">
      <alignment horizontal="left"/>
    </xf>
    <xf numFmtId="3" fontId="27" fillId="5" borderId="11" xfId="38" applyNumberFormat="1" applyFont="1" applyFill="1" applyBorder="1" applyAlignment="1" applyProtection="1">
      <alignment horizontal="left"/>
    </xf>
    <xf numFmtId="0" fontId="30" fillId="5" borderId="0" xfId="38" applyFont="1" applyFill="1" applyBorder="1" applyAlignment="1" applyProtection="1">
      <alignment vertical="center"/>
    </xf>
    <xf numFmtId="3" fontId="48" fillId="5" borderId="0" xfId="38" applyNumberFormat="1" applyFont="1" applyFill="1" applyBorder="1" applyAlignment="1" applyProtection="1">
      <alignment horizontal="right" vertical="center"/>
    </xf>
    <xf numFmtId="0" fontId="48" fillId="5" borderId="0" xfId="38" applyFont="1" applyFill="1" applyBorder="1" applyAlignment="1" applyProtection="1">
      <alignment horizontal="right" vertical="center"/>
    </xf>
    <xf numFmtId="0" fontId="48" fillId="5" borderId="0" xfId="38" applyFont="1" applyFill="1" applyBorder="1" applyAlignment="1" applyProtection="1"/>
    <xf numFmtId="2" fontId="25" fillId="3" borderId="9" xfId="1" applyNumberFormat="1" applyFont="1" applyFill="1" applyBorder="1" applyProtection="1"/>
    <xf numFmtId="0" fontId="25" fillId="3" borderId="10" xfId="1" applyFont="1" applyFill="1" applyBorder="1" applyProtection="1"/>
    <xf numFmtId="0" fontId="25" fillId="3" borderId="11" xfId="1" applyFont="1" applyFill="1" applyBorder="1" applyProtection="1"/>
    <xf numFmtId="2" fontId="25" fillId="0" borderId="0" xfId="1" applyNumberFormat="1" applyFont="1" applyProtection="1"/>
    <xf numFmtId="2" fontId="25" fillId="0" borderId="0" xfId="1" applyNumberFormat="1" applyFont="1" applyProtection="1">
      <protection locked="0"/>
    </xf>
    <xf numFmtId="0" fontId="25" fillId="0" borderId="0" xfId="1" applyFont="1" applyProtection="1">
      <protection locked="0"/>
    </xf>
    <xf numFmtId="0" fontId="25" fillId="0" borderId="0" xfId="1" applyFont="1"/>
    <xf numFmtId="0" fontId="12" fillId="5" borderId="0" xfId="38" applyFont="1" applyFill="1" applyBorder="1" applyAlignment="1" applyProtection="1"/>
    <xf numFmtId="0" fontId="11" fillId="5" borderId="12" xfId="38" applyFont="1" applyFill="1" applyBorder="1" applyAlignment="1" applyProtection="1">
      <alignment horizontal="center"/>
    </xf>
    <xf numFmtId="0" fontId="11" fillId="5" borderId="2" xfId="38" applyFont="1" applyFill="1" applyBorder="1" applyAlignment="1" applyProtection="1">
      <alignment horizontal="centerContinuous"/>
    </xf>
    <xf numFmtId="177" fontId="5" fillId="3" borderId="13" xfId="5" applyNumberFormat="1" applyFont="1" applyFill="1" applyBorder="1" applyAlignment="1" applyProtection="1">
      <alignment horizontal="right"/>
    </xf>
    <xf numFmtId="0" fontId="11" fillId="5" borderId="4" xfId="38" applyFont="1" applyFill="1" applyBorder="1" applyAlignment="1" applyProtection="1">
      <alignment horizontal="center"/>
    </xf>
    <xf numFmtId="0" fontId="11" fillId="5" borderId="0" xfId="38" applyFont="1" applyFill="1" applyBorder="1" applyAlignment="1" applyProtection="1">
      <alignment horizontal="centerContinuous"/>
    </xf>
    <xf numFmtId="177" fontId="5" fillId="3" borderId="14" xfId="5" applyNumberFormat="1" applyFont="1" applyFill="1" applyBorder="1" applyAlignment="1" applyProtection="1">
      <alignment horizontal="right"/>
    </xf>
    <xf numFmtId="0" fontId="11" fillId="5" borderId="9" xfId="38" applyFont="1" applyFill="1" applyBorder="1" applyAlignment="1" applyProtection="1">
      <alignment horizontal="center"/>
    </xf>
    <xf numFmtId="0" fontId="11" fillId="5" borderId="10" xfId="38" applyFont="1" applyFill="1" applyBorder="1" applyAlignment="1" applyProtection="1">
      <alignment horizontal="right"/>
    </xf>
    <xf numFmtId="177" fontId="5" fillId="3" borderId="15" xfId="5" applyNumberFormat="1" applyFont="1" applyFill="1" applyBorder="1" applyAlignment="1" applyProtection="1">
      <alignment horizontal="right"/>
    </xf>
    <xf numFmtId="0" fontId="11" fillId="5" borderId="13" xfId="38" applyFont="1" applyFill="1" applyBorder="1" applyAlignment="1" applyProtection="1">
      <alignment horizontal="center"/>
    </xf>
    <xf numFmtId="3" fontId="11" fillId="5" borderId="12" xfId="38" applyNumberFormat="1" applyFont="1" applyFill="1" applyBorder="1" applyAlignment="1" applyProtection="1">
      <alignment horizontal="right"/>
    </xf>
    <xf numFmtId="3" fontId="11" fillId="5" borderId="2" xfId="38" applyNumberFormat="1" applyFont="1" applyFill="1" applyBorder="1" applyAlignment="1" applyProtection="1">
      <alignment horizontal="right"/>
    </xf>
    <xf numFmtId="3" fontId="11" fillId="5" borderId="3" xfId="38" applyNumberFormat="1" applyFont="1" applyFill="1" applyBorder="1" applyAlignment="1" applyProtection="1">
      <alignment horizontal="right"/>
    </xf>
    <xf numFmtId="0" fontId="11" fillId="5" borderId="14" xfId="38" applyFont="1" applyFill="1" applyBorder="1" applyAlignment="1" applyProtection="1">
      <alignment horizontal="center"/>
    </xf>
    <xf numFmtId="3" fontId="11" fillId="5" borderId="4" xfId="38" applyNumberFormat="1" applyFont="1" applyFill="1" applyBorder="1" applyAlignment="1" applyProtection="1">
      <alignment horizontal="right"/>
    </xf>
    <xf numFmtId="3" fontId="11" fillId="5" borderId="0" xfId="38" applyNumberFormat="1" applyFont="1" applyFill="1" applyBorder="1" applyAlignment="1" applyProtection="1">
      <alignment horizontal="right"/>
    </xf>
    <xf numFmtId="3" fontId="12" fillId="5" borderId="5" xfId="38" applyNumberFormat="1" applyFont="1" applyFill="1" applyBorder="1" applyAlignment="1" applyProtection="1">
      <alignment horizontal="right" vertical="center"/>
    </xf>
    <xf numFmtId="3" fontId="12" fillId="5" borderId="0" xfId="38" applyNumberFormat="1" applyFont="1" applyFill="1" applyBorder="1" applyAlignment="1" applyProtection="1">
      <alignment horizontal="right" vertical="center"/>
    </xf>
    <xf numFmtId="0" fontId="11" fillId="5" borderId="15" xfId="38" applyFont="1" applyFill="1" applyBorder="1" applyAlignment="1" applyProtection="1">
      <alignment horizontal="center"/>
    </xf>
    <xf numFmtId="3" fontId="11" fillId="5" borderId="9" xfId="38" applyNumberFormat="1" applyFont="1" applyFill="1" applyBorder="1" applyAlignment="1" applyProtection="1">
      <alignment horizontal="right"/>
    </xf>
    <xf numFmtId="3" fontId="12" fillId="5" borderId="10" xfId="38" applyNumberFormat="1" applyFont="1" applyFill="1" applyBorder="1" applyAlignment="1" applyProtection="1">
      <alignment horizontal="right" vertical="center"/>
    </xf>
    <xf numFmtId="3" fontId="12" fillId="5" borderId="11" xfId="38" applyNumberFormat="1" applyFont="1" applyFill="1" applyBorder="1" applyAlignment="1" applyProtection="1">
      <alignment horizontal="right" vertical="center"/>
    </xf>
    <xf numFmtId="0" fontId="10" fillId="5" borderId="0" xfId="38" applyFont="1" applyFill="1" applyBorder="1" applyAlignment="1" applyProtection="1">
      <alignment horizontal="center"/>
    </xf>
    <xf numFmtId="14" fontId="23" fillId="5" borderId="0" xfId="38" applyNumberFormat="1" applyFont="1" applyFill="1" applyBorder="1" applyAlignment="1" applyProtection="1">
      <alignment horizontal="center"/>
    </xf>
    <xf numFmtId="0" fontId="23" fillId="5" borderId="0" xfId="24" applyNumberFormat="1" applyFont="1" applyFill="1" applyBorder="1" applyAlignment="1" applyProtection="1">
      <alignment horizontal="center"/>
    </xf>
    <xf numFmtId="180" fontId="11" fillId="5" borderId="13" xfId="38" applyNumberFormat="1" applyFont="1" applyFill="1" applyBorder="1" applyAlignment="1" applyProtection="1">
      <alignment horizontal="right"/>
    </xf>
    <xf numFmtId="3" fontId="11" fillId="5" borderId="2" xfId="38" applyNumberFormat="1" applyFont="1" applyFill="1" applyBorder="1" applyAlignment="1" applyProtection="1">
      <alignment horizontal="left"/>
    </xf>
    <xf numFmtId="3" fontId="11" fillId="5" borderId="3" xfId="38" applyNumberFormat="1" applyFont="1" applyFill="1" applyBorder="1" applyAlignment="1" applyProtection="1">
      <alignment horizontal="left"/>
    </xf>
    <xf numFmtId="9" fontId="11" fillId="5" borderId="15" xfId="13" applyFont="1" applyFill="1" applyBorder="1" applyAlignment="1" applyProtection="1">
      <alignment horizontal="right"/>
    </xf>
    <xf numFmtId="3" fontId="11" fillId="5" borderId="10" xfId="38" applyNumberFormat="1" applyFont="1" applyFill="1" applyBorder="1" applyAlignment="1" applyProtection="1">
      <alignment horizontal="left"/>
    </xf>
    <xf numFmtId="3" fontId="11" fillId="5" borderId="11" xfId="38" applyNumberFormat="1" applyFont="1" applyFill="1" applyBorder="1" applyAlignment="1" applyProtection="1">
      <alignment horizontal="left"/>
    </xf>
    <xf numFmtId="0" fontId="10" fillId="5" borderId="0" xfId="38" applyFont="1" applyFill="1" applyBorder="1" applyAlignment="1" applyProtection="1">
      <alignment vertical="center"/>
    </xf>
    <xf numFmtId="3" fontId="15" fillId="5" borderId="0" xfId="38" applyNumberFormat="1" applyFont="1" applyFill="1" applyBorder="1" applyAlignment="1" applyProtection="1">
      <alignment horizontal="right" vertical="center"/>
    </xf>
    <xf numFmtId="0" fontId="15" fillId="5" borderId="0" xfId="38" applyFont="1" applyFill="1" applyBorder="1" applyAlignment="1" applyProtection="1">
      <alignment horizontal="right" vertical="center"/>
    </xf>
    <xf numFmtId="0" fontId="15" fillId="5" borderId="0" xfId="38" applyFont="1" applyFill="1" applyBorder="1" applyAlignment="1" applyProtection="1"/>
    <xf numFmtId="2" fontId="5" fillId="3" borderId="9" xfId="1" applyNumberFormat="1" applyFont="1" applyFill="1" applyBorder="1" applyProtection="1"/>
    <xf numFmtId="2" fontId="5" fillId="0" borderId="0" xfId="1" applyNumberFormat="1" applyFont="1" applyProtection="1"/>
    <xf numFmtId="0" fontId="11" fillId="0" borderId="0" xfId="38" applyFont="1" applyFill="1" applyBorder="1" applyAlignment="1" applyProtection="1">
      <alignment horizontal="center"/>
    </xf>
    <xf numFmtId="0" fontId="11" fillId="0" borderId="0" xfId="38" applyFont="1" applyFill="1" applyBorder="1" applyAlignment="1" applyProtection="1">
      <alignment horizontal="centerContinuous"/>
    </xf>
    <xf numFmtId="177" fontId="5" fillId="0" borderId="0" xfId="5" applyNumberFormat="1" applyFont="1" applyFill="1" applyBorder="1" applyAlignment="1" applyProtection="1">
      <alignment horizontal="right"/>
    </xf>
    <xf numFmtId="0" fontId="11" fillId="0" borderId="0" xfId="38" applyFont="1" applyFill="1" applyBorder="1" applyAlignment="1" applyProtection="1">
      <alignment horizontal="right"/>
    </xf>
    <xf numFmtId="3" fontId="11" fillId="0" borderId="0" xfId="38" applyNumberFormat="1" applyFont="1" applyFill="1" applyBorder="1" applyAlignment="1" applyProtection="1">
      <alignment horizontal="right"/>
    </xf>
    <xf numFmtId="3" fontId="12" fillId="0" borderId="0" xfId="38" applyNumberFormat="1" applyFont="1" applyFill="1" applyBorder="1" applyAlignment="1" applyProtection="1">
      <alignment horizontal="right" vertical="center"/>
    </xf>
    <xf numFmtId="0" fontId="11" fillId="0" borderId="0" xfId="3" applyFont="1" applyFill="1" applyBorder="1" applyAlignment="1" applyProtection="1">
      <alignment horizontal="center"/>
    </xf>
    <xf numFmtId="0" fontId="11" fillId="0" borderId="0" xfId="3" applyFont="1" applyFill="1" applyBorder="1" applyAlignment="1" applyProtection="1">
      <alignment horizontal="centerContinuous" vertical="center"/>
    </xf>
    <xf numFmtId="0" fontId="11" fillId="0" borderId="0" xfId="3" applyFont="1" applyFill="1" applyBorder="1" applyAlignment="1" applyProtection="1">
      <alignment horizontal="center" vertical="center" wrapText="1"/>
    </xf>
    <xf numFmtId="0" fontId="11" fillId="0" borderId="0" xfId="3" quotePrefix="1" applyFont="1" applyFill="1" applyBorder="1" applyAlignment="1" applyProtection="1">
      <alignment horizontal="right" vertical="center" wrapText="1"/>
    </xf>
    <xf numFmtId="0" fontId="11" fillId="0" borderId="0" xfId="3" applyFont="1" applyFill="1" applyBorder="1" applyAlignment="1" applyProtection="1">
      <alignment horizontal="right" vertical="center" wrapText="1"/>
    </xf>
    <xf numFmtId="170" fontId="11" fillId="0" borderId="0" xfId="5" applyFont="1" applyFill="1" applyBorder="1" applyAlignment="1" applyProtection="1">
      <alignment horizontal="right" vertical="center" wrapText="1"/>
    </xf>
    <xf numFmtId="3" fontId="11" fillId="0" borderId="0" xfId="3" applyNumberFormat="1" applyFont="1" applyFill="1" applyBorder="1" applyAlignment="1" applyProtection="1">
      <alignment horizontal="right" vertical="center" wrapText="1"/>
    </xf>
    <xf numFmtId="0" fontId="24" fillId="0" borderId="0" xfId="1" applyFont="1" applyProtection="1"/>
    <xf numFmtId="177" fontId="24" fillId="0" borderId="0" xfId="1" applyNumberFormat="1" applyFont="1" applyProtection="1"/>
    <xf numFmtId="3" fontId="5" fillId="0" borderId="0" xfId="1" applyNumberFormat="1" applyFont="1" applyProtection="1"/>
    <xf numFmtId="9" fontId="5" fillId="0" borderId="0" xfId="13" applyFont="1" applyProtection="1"/>
    <xf numFmtId="9" fontId="5" fillId="0" borderId="0" xfId="1" applyNumberFormat="1" applyFont="1" applyProtection="1"/>
    <xf numFmtId="177" fontId="5" fillId="0" borderId="0" xfId="1" applyNumberFormat="1" applyFont="1" applyProtection="1"/>
    <xf numFmtId="2" fontId="5" fillId="0" borderId="0" xfId="1" applyNumberFormat="1" applyFont="1" applyProtection="1">
      <protection locked="0"/>
    </xf>
    <xf numFmtId="0" fontId="10" fillId="0" borderId="0" xfId="38" applyFont="1" applyProtection="1"/>
    <xf numFmtId="0" fontId="10" fillId="3" borderId="6" xfId="38" applyFont="1" applyFill="1" applyBorder="1" applyProtection="1"/>
    <xf numFmtId="0" fontId="10" fillId="3" borderId="12" xfId="38" applyFont="1" applyFill="1" applyBorder="1" applyAlignment="1" applyProtection="1">
      <alignment horizontal="centerContinuous"/>
    </xf>
    <xf numFmtId="0" fontId="10" fillId="3" borderId="3" xfId="38" applyFont="1" applyFill="1" applyBorder="1" applyAlignment="1" applyProtection="1">
      <alignment horizontal="centerContinuous"/>
    </xf>
    <xf numFmtId="0" fontId="32" fillId="3" borderId="5" xfId="38" applyFont="1" applyFill="1" applyBorder="1" applyAlignment="1" applyProtection="1">
      <alignment horizontal="center"/>
    </xf>
    <xf numFmtId="0" fontId="10" fillId="3" borderId="11" xfId="38" applyFont="1" applyFill="1" applyBorder="1" applyAlignment="1" applyProtection="1">
      <alignment horizontal="center"/>
    </xf>
    <xf numFmtId="0" fontId="10" fillId="5" borderId="12" xfId="38" applyFont="1" applyFill="1" applyBorder="1" applyAlignment="1" applyProtection="1">
      <alignment horizontal="center" vertical="center" wrapText="1"/>
    </xf>
    <xf numFmtId="9" fontId="11" fillId="5" borderId="12" xfId="39" applyFont="1" applyFill="1" applyBorder="1" applyAlignment="1" applyProtection="1">
      <alignment horizontal="center" vertical="center" wrapText="1"/>
    </xf>
    <xf numFmtId="9" fontId="11" fillId="5" borderId="3" xfId="39" applyFont="1" applyFill="1" applyBorder="1" applyAlignment="1" applyProtection="1">
      <alignment horizontal="center" vertical="center" wrapText="1"/>
    </xf>
    <xf numFmtId="9" fontId="10" fillId="5" borderId="3" xfId="39" applyFont="1" applyFill="1" applyBorder="1" applyAlignment="1" applyProtection="1">
      <alignment horizontal="center" vertical="center" wrapText="1"/>
    </xf>
    <xf numFmtId="9" fontId="11" fillId="5" borderId="3" xfId="39" applyFont="1" applyFill="1" applyBorder="1" applyAlignment="1" applyProtection="1">
      <alignment horizontal="center"/>
    </xf>
    <xf numFmtId="3" fontId="10" fillId="5" borderId="5" xfId="38" applyNumberFormat="1" applyFont="1" applyFill="1" applyBorder="1" applyAlignment="1" applyProtection="1">
      <alignment horizontal="center"/>
    </xf>
    <xf numFmtId="0" fontId="10" fillId="5" borderId="4" xfId="38" applyFont="1" applyFill="1" applyBorder="1" applyAlignment="1" applyProtection="1">
      <alignment horizontal="center" vertical="center" wrapText="1"/>
    </xf>
    <xf numFmtId="9" fontId="11" fillId="5" borderId="4" xfId="39" applyFont="1" applyFill="1" applyBorder="1" applyAlignment="1" applyProtection="1">
      <alignment horizontal="center" vertical="center" wrapText="1"/>
    </xf>
    <xf numFmtId="9" fontId="11" fillId="5" borderId="5" xfId="39" applyFont="1" applyFill="1" applyBorder="1" applyAlignment="1" applyProtection="1">
      <alignment horizontal="center" vertical="center" wrapText="1"/>
    </xf>
    <xf numFmtId="9" fontId="10" fillId="5" borderId="5" xfId="39" applyFont="1" applyFill="1" applyBorder="1" applyAlignment="1" applyProtection="1">
      <alignment horizontal="center" vertical="center" wrapText="1"/>
    </xf>
    <xf numFmtId="9" fontId="11" fillId="5" borderId="5" xfId="39" applyFont="1" applyFill="1" applyBorder="1" applyAlignment="1" applyProtection="1">
      <alignment horizontal="center"/>
    </xf>
    <xf numFmtId="0" fontId="10" fillId="5" borderId="9" xfId="38" applyFont="1" applyFill="1" applyBorder="1" applyAlignment="1" applyProtection="1">
      <alignment horizontal="center" vertical="center" wrapText="1"/>
    </xf>
    <xf numFmtId="9" fontId="11" fillId="5" borderId="9" xfId="39" applyFont="1" applyFill="1" applyBorder="1" applyAlignment="1" applyProtection="1">
      <alignment horizontal="center" vertical="center" wrapText="1"/>
    </xf>
    <xf numFmtId="9" fontId="11" fillId="5" borderId="11" xfId="39" applyFont="1" applyFill="1" applyBorder="1" applyAlignment="1" applyProtection="1">
      <alignment horizontal="center" vertical="center" wrapText="1"/>
    </xf>
    <xf numFmtId="9" fontId="10" fillId="5" borderId="11" xfId="39" applyFont="1" applyFill="1" applyBorder="1" applyAlignment="1" applyProtection="1">
      <alignment horizontal="center" vertical="center" wrapText="1"/>
    </xf>
    <xf numFmtId="9" fontId="11" fillId="5" borderId="11" xfId="39" applyFont="1" applyFill="1" applyBorder="1" applyAlignment="1" applyProtection="1">
      <alignment horizontal="center"/>
    </xf>
    <xf numFmtId="2" fontId="9" fillId="4" borderId="4" xfId="38" applyNumberFormat="1" applyFont="1" applyFill="1" applyBorder="1" applyAlignment="1" applyProtection="1">
      <alignment horizontal="center"/>
    </xf>
    <xf numFmtId="0" fontId="10" fillId="3" borderId="4" xfId="38" applyFont="1" applyFill="1" applyBorder="1" applyProtection="1"/>
    <xf numFmtId="0" fontId="5" fillId="7" borderId="0" xfId="1" applyFont="1" applyFill="1" applyBorder="1" applyAlignment="1" applyProtection="1">
      <alignment horizontal="left" indent="2"/>
    </xf>
    <xf numFmtId="0" fontId="5" fillId="7" borderId="0" xfId="1" applyFont="1" applyFill="1" applyBorder="1" applyAlignment="1" applyProtection="1">
      <alignment horizontal="left"/>
    </xf>
    <xf numFmtId="2" fontId="9" fillId="4" borderId="9" xfId="38" applyNumberFormat="1" applyFont="1" applyFill="1" applyBorder="1" applyAlignment="1" applyProtection="1">
      <alignment horizontal="center"/>
    </xf>
    <xf numFmtId="0" fontId="10" fillId="3" borderId="10" xfId="38" applyFont="1" applyFill="1" applyBorder="1" applyProtection="1"/>
    <xf numFmtId="0" fontId="10" fillId="5" borderId="10" xfId="38" applyFont="1" applyFill="1" applyBorder="1" applyProtection="1"/>
    <xf numFmtId="0" fontId="10" fillId="5" borderId="11" xfId="38" applyFont="1" applyFill="1" applyBorder="1" applyProtection="1"/>
    <xf numFmtId="0" fontId="10" fillId="0" borderId="0" xfId="38" quotePrefix="1" applyFont="1" applyFill="1" applyProtection="1"/>
    <xf numFmtId="0" fontId="10" fillId="0" borderId="0" xfId="38" quotePrefix="1" applyFont="1" applyProtection="1"/>
    <xf numFmtId="0" fontId="10" fillId="0" borderId="0" xfId="38" applyFont="1" applyFill="1" applyProtection="1"/>
    <xf numFmtId="0" fontId="50" fillId="3" borderId="0" xfId="1" quotePrefix="1" applyFont="1" applyFill="1" applyBorder="1" applyAlignment="1" applyProtection="1">
      <alignment horizontal="left" indent="1"/>
    </xf>
    <xf numFmtId="0" fontId="50" fillId="3" borderId="0" xfId="1" quotePrefix="1" applyFont="1" applyFill="1" applyBorder="1" applyAlignment="1" applyProtection="1">
      <alignment horizontal="centerContinuous"/>
    </xf>
    <xf numFmtId="0" fontId="45" fillId="3" borderId="0" xfId="29" applyFont="1" applyFill="1" applyBorder="1" applyAlignment="1" applyProtection="1">
      <alignment horizontal="centerContinuous"/>
    </xf>
    <xf numFmtId="0" fontId="50" fillId="3" borderId="5" xfId="1" quotePrefix="1" applyFont="1" applyFill="1" applyBorder="1" applyAlignment="1" applyProtection="1">
      <alignment horizontal="center"/>
    </xf>
    <xf numFmtId="0" fontId="11" fillId="3" borderId="12" xfId="29" applyFont="1" applyFill="1" applyBorder="1" applyProtection="1"/>
    <xf numFmtId="38" fontId="5" fillId="3" borderId="2" xfId="1" applyNumberFormat="1" applyFont="1" applyFill="1" applyBorder="1" applyAlignment="1" applyProtection="1">
      <alignment horizontal="center"/>
    </xf>
    <xf numFmtId="38" fontId="5" fillId="3" borderId="3" xfId="1" applyNumberFormat="1" applyFont="1" applyFill="1" applyBorder="1" applyAlignment="1" applyProtection="1">
      <alignment horizontal="center"/>
    </xf>
    <xf numFmtId="38" fontId="50" fillId="3" borderId="0" xfId="1" applyNumberFormat="1" applyFont="1" applyFill="1" applyBorder="1" applyAlignment="1" applyProtection="1">
      <alignment horizontal="center"/>
    </xf>
    <xf numFmtId="0" fontId="5" fillId="3" borderId="4" xfId="1" quotePrefix="1" applyFont="1" applyFill="1" applyBorder="1" applyAlignment="1" applyProtection="1">
      <alignment horizontal="center"/>
    </xf>
    <xf numFmtId="165" fontId="5" fillId="3" borderId="0" xfId="1" quotePrefix="1" applyNumberFormat="1" applyFont="1" applyFill="1" applyBorder="1" applyAlignment="1" applyProtection="1">
      <alignment horizontal="right"/>
    </xf>
    <xf numFmtId="165" fontId="5" fillId="3" borderId="5" xfId="1" quotePrefix="1" applyNumberFormat="1" applyFont="1" applyFill="1" applyBorder="1" applyAlignment="1" applyProtection="1">
      <alignment horizontal="right"/>
    </xf>
    <xf numFmtId="0" fontId="5" fillId="3" borderId="5" xfId="1" applyFont="1" applyFill="1" applyBorder="1" applyAlignment="1" applyProtection="1">
      <alignment horizontal="center"/>
    </xf>
    <xf numFmtId="171" fontId="11" fillId="3" borderId="10" xfId="29" applyNumberFormat="1" applyFont="1" applyFill="1" applyBorder="1" applyAlignment="1" applyProtection="1">
      <alignment horizontal="right"/>
    </xf>
    <xf numFmtId="171" fontId="11" fillId="3" borderId="11" xfId="29" applyNumberFormat="1" applyFont="1" applyFill="1" applyBorder="1" applyAlignment="1" applyProtection="1">
      <alignment horizontal="right"/>
    </xf>
    <xf numFmtId="165" fontId="5" fillId="3" borderId="4" xfId="1" applyNumberFormat="1" applyFont="1" applyFill="1" applyBorder="1" applyAlignment="1" applyProtection="1">
      <alignment horizontal="right"/>
    </xf>
    <xf numFmtId="165" fontId="5" fillId="3" borderId="9" xfId="1" applyNumberFormat="1" applyFont="1" applyFill="1" applyBorder="1" applyAlignment="1" applyProtection="1">
      <alignment horizontal="right"/>
    </xf>
    <xf numFmtId="0" fontId="5" fillId="3" borderId="0" xfId="1" applyFont="1" applyFill="1" applyBorder="1" applyAlignment="1" applyProtection="1">
      <alignment horizontal="centerContinuous"/>
    </xf>
    <xf numFmtId="165" fontId="5" fillId="3" borderId="0" xfId="1" applyNumberFormat="1" applyFont="1" applyFill="1" applyBorder="1" applyAlignment="1" applyProtection="1">
      <alignment horizontal="center"/>
    </xf>
    <xf numFmtId="0" fontId="50" fillId="3" borderId="0" xfId="1" quotePrefix="1" applyFont="1" applyFill="1" applyBorder="1" applyAlignment="1" applyProtection="1">
      <alignment horizontal="center"/>
    </xf>
    <xf numFmtId="0" fontId="5" fillId="3" borderId="0" xfId="1" quotePrefix="1" applyFont="1" applyFill="1" applyBorder="1" applyAlignment="1" applyProtection="1">
      <alignment horizontal="right"/>
    </xf>
    <xf numFmtId="174" fontId="5" fillId="3" borderId="7" xfId="1" applyNumberFormat="1" applyFont="1" applyFill="1" applyBorder="1" applyAlignment="1" applyProtection="1">
      <alignment horizontal="centerContinuous"/>
    </xf>
    <xf numFmtId="174" fontId="5" fillId="3" borderId="8" xfId="1" applyNumberFormat="1" applyFont="1" applyFill="1" applyBorder="1" applyAlignment="1" applyProtection="1">
      <alignment horizontal="centerContinuous"/>
    </xf>
    <xf numFmtId="170" fontId="9" fillId="3" borderId="4" xfId="5" applyFont="1" applyFill="1" applyBorder="1" applyProtection="1"/>
    <xf numFmtId="0" fontId="5" fillId="3" borderId="6" xfId="1" applyFont="1" applyFill="1" applyBorder="1" applyAlignment="1" applyProtection="1">
      <alignment horizontal="right"/>
    </xf>
    <xf numFmtId="0" fontId="5" fillId="3" borderId="7" xfId="1" applyFont="1" applyFill="1" applyBorder="1" applyAlignment="1" applyProtection="1">
      <alignment horizontal="right"/>
    </xf>
    <xf numFmtId="0" fontId="5" fillId="3" borderId="8" xfId="1" applyFont="1" applyFill="1" applyBorder="1" applyAlignment="1" applyProtection="1">
      <alignment horizontal="right"/>
    </xf>
    <xf numFmtId="0" fontId="5" fillId="3" borderId="14" xfId="1" quotePrefix="1" applyFont="1" applyFill="1" applyBorder="1" applyAlignment="1" applyProtection="1">
      <alignment horizontal="center"/>
    </xf>
    <xf numFmtId="174" fontId="11" fillId="3" borderId="0" xfId="29" applyNumberFormat="1" applyFont="1" applyFill="1" applyBorder="1" applyAlignment="1" applyProtection="1">
      <alignment horizontal="right"/>
    </xf>
    <xf numFmtId="174" fontId="5" fillId="3" borderId="0" xfId="1" applyNumberFormat="1" applyFont="1" applyFill="1" applyBorder="1" applyAlignment="1" applyProtection="1">
      <alignment horizontal="right"/>
    </xf>
    <xf numFmtId="174" fontId="5" fillId="3" borderId="5" xfId="1" applyNumberFormat="1" applyFont="1" applyFill="1" applyBorder="1" applyAlignment="1" applyProtection="1">
      <alignment horizontal="right"/>
    </xf>
    <xf numFmtId="174" fontId="5" fillId="3" borderId="10" xfId="1" applyNumberFormat="1" applyFont="1" applyFill="1" applyBorder="1" applyAlignment="1" applyProtection="1">
      <alignment horizontal="right"/>
    </xf>
    <xf numFmtId="174" fontId="5" fillId="3" borderId="11" xfId="1" applyNumberFormat="1" applyFont="1" applyFill="1" applyBorder="1" applyAlignment="1" applyProtection="1">
      <alignment horizontal="right"/>
    </xf>
    <xf numFmtId="174" fontId="5" fillId="3" borderId="0" xfId="1" applyNumberFormat="1" applyFont="1" applyFill="1" applyBorder="1" applyAlignment="1" applyProtection="1">
      <alignment horizontal="center"/>
    </xf>
    <xf numFmtId="0" fontId="5" fillId="3" borderId="0" xfId="1" quotePrefix="1" applyFont="1" applyFill="1" applyBorder="1" applyAlignment="1" applyProtection="1">
      <alignment horizontal="left"/>
    </xf>
    <xf numFmtId="170" fontId="9" fillId="3" borderId="9" xfId="5" applyFont="1" applyFill="1" applyBorder="1" applyProtection="1"/>
    <xf numFmtId="0" fontId="5" fillId="3" borderId="10" xfId="1" quotePrefix="1" applyFont="1" applyFill="1" applyBorder="1" applyAlignment="1" applyProtection="1">
      <alignment horizontal="left"/>
    </xf>
    <xf numFmtId="14" fontId="11" fillId="0" borderId="0" xfId="29" applyNumberFormat="1" applyFont="1" applyProtection="1"/>
    <xf numFmtId="0" fontId="11" fillId="0" borderId="0" xfId="29" applyFont="1" applyFill="1" applyBorder="1" applyProtection="1"/>
    <xf numFmtId="38" fontId="5" fillId="0" borderId="0" xfId="1" applyNumberFormat="1" applyFont="1" applyFill="1" applyBorder="1" applyAlignment="1" applyProtection="1">
      <alignment horizontal="center"/>
    </xf>
    <xf numFmtId="0" fontId="11" fillId="0" borderId="0" xfId="29" applyFont="1" applyFill="1" applyBorder="1"/>
    <xf numFmtId="0" fontId="5" fillId="0" borderId="0" xfId="1" quotePrefix="1" applyFont="1" applyFill="1" applyBorder="1" applyAlignment="1" applyProtection="1">
      <alignment horizontal="center"/>
    </xf>
    <xf numFmtId="165" fontId="5" fillId="0" borderId="0" xfId="1" quotePrefix="1" applyNumberFormat="1" applyFont="1" applyFill="1" applyBorder="1" applyAlignment="1" applyProtection="1">
      <alignment horizontal="right"/>
    </xf>
    <xf numFmtId="0" fontId="5" fillId="0" borderId="0" xfId="1" applyFont="1" applyFill="1" applyBorder="1" applyAlignment="1" applyProtection="1">
      <alignment horizontal="center"/>
    </xf>
    <xf numFmtId="195" fontId="11" fillId="0" borderId="0" xfId="29" applyNumberFormat="1" applyFont="1" applyFill="1" applyBorder="1" applyAlignment="1" applyProtection="1">
      <alignment horizontal="right"/>
    </xf>
    <xf numFmtId="174" fontId="11" fillId="0" borderId="0" xfId="29" applyNumberFormat="1" applyFont="1" applyFill="1" applyBorder="1" applyProtection="1"/>
    <xf numFmtId="4" fontId="11" fillId="0" borderId="0" xfId="29" applyNumberFormat="1" applyFont="1" applyFill="1" applyBorder="1" applyProtection="1"/>
    <xf numFmtId="171" fontId="11" fillId="0" borderId="0" xfId="29" applyNumberFormat="1" applyFont="1" applyFill="1" applyBorder="1" applyAlignment="1" applyProtection="1">
      <alignment horizontal="right"/>
    </xf>
    <xf numFmtId="165" fontId="5" fillId="0" borderId="0" xfId="1" applyNumberFormat="1" applyFont="1" applyFill="1" applyBorder="1" applyAlignment="1" applyProtection="1">
      <alignment horizontal="right"/>
    </xf>
    <xf numFmtId="3" fontId="11" fillId="0" borderId="0" xfId="29" applyNumberFormat="1" applyFont="1" applyFill="1" applyBorder="1" applyProtection="1"/>
    <xf numFmtId="3" fontId="5" fillId="0" borderId="0" xfId="1" applyNumberFormat="1" applyFont="1" applyFill="1" applyBorder="1" applyAlignment="1" applyProtection="1">
      <alignment horizontal="right"/>
    </xf>
    <xf numFmtId="195" fontId="11" fillId="0" borderId="0" xfId="29" applyNumberFormat="1" applyFont="1" applyFill="1" applyBorder="1" applyProtection="1"/>
    <xf numFmtId="165" fontId="11" fillId="0" borderId="0" xfId="29" applyNumberFormat="1" applyFont="1" applyProtection="1"/>
    <xf numFmtId="3" fontId="11" fillId="0" borderId="0" xfId="29" applyNumberFormat="1" applyFont="1" applyProtection="1"/>
    <xf numFmtId="167" fontId="11" fillId="0" borderId="0" xfId="29" applyNumberFormat="1" applyFont="1" applyProtection="1"/>
    <xf numFmtId="0" fontId="5" fillId="3" borderId="2" xfId="18" applyFont="1" applyFill="1" applyBorder="1" applyProtection="1"/>
    <xf numFmtId="0" fontId="5" fillId="3" borderId="3" xfId="18" applyFont="1" applyFill="1" applyBorder="1" applyProtection="1"/>
    <xf numFmtId="0" fontId="5" fillId="3" borderId="5" xfId="18" applyFont="1" applyFill="1" applyBorder="1" applyProtection="1"/>
    <xf numFmtId="0" fontId="9" fillId="3" borderId="4" xfId="18" applyFont="1" applyFill="1" applyBorder="1" applyProtection="1"/>
    <xf numFmtId="0" fontId="9" fillId="3" borderId="4" xfId="18" applyFont="1" applyFill="1" applyBorder="1" applyAlignment="1" applyProtection="1">
      <alignment wrapText="1"/>
    </xf>
    <xf numFmtId="0" fontId="11" fillId="4" borderId="6" xfId="3" applyFont="1" applyFill="1" applyBorder="1" applyAlignment="1" applyProtection="1">
      <alignment horizontal="center" wrapText="1"/>
    </xf>
    <xf numFmtId="0" fontId="11" fillId="4" borderId="7" xfId="3" applyFont="1" applyFill="1" applyBorder="1" applyAlignment="1" applyProtection="1">
      <alignment horizontal="center" wrapText="1"/>
    </xf>
    <xf numFmtId="0" fontId="11" fillId="4" borderId="8" xfId="3" applyFont="1" applyFill="1" applyBorder="1" applyAlignment="1" applyProtection="1">
      <alignment horizontal="center" wrapText="1"/>
    </xf>
    <xf numFmtId="170" fontId="5" fillId="3" borderId="5" xfId="18" applyNumberFormat="1" applyFont="1" applyFill="1" applyBorder="1" applyAlignment="1" applyProtection="1">
      <alignment wrapText="1"/>
    </xf>
    <xf numFmtId="0" fontId="11" fillId="4" borderId="12" xfId="3" applyFont="1" applyFill="1" applyBorder="1" applyAlignment="1" applyProtection="1">
      <alignment horizontal="center"/>
    </xf>
    <xf numFmtId="177" fontId="11" fillId="4" borderId="2" xfId="41" applyNumberFormat="1" applyFont="1" applyFill="1" applyBorder="1" applyAlignment="1" applyProtection="1">
      <alignment horizontal="right"/>
    </xf>
    <xf numFmtId="177" fontId="11" fillId="4" borderId="3" xfId="41" applyNumberFormat="1" applyFont="1" applyFill="1" applyBorder="1" applyAlignment="1" applyProtection="1">
      <alignment horizontal="right"/>
    </xf>
    <xf numFmtId="179" fontId="5" fillId="3" borderId="5" xfId="19" applyNumberFormat="1" applyFont="1" applyFill="1" applyBorder="1" applyProtection="1"/>
    <xf numFmtId="0" fontId="11" fillId="4" borderId="4" xfId="3" applyFont="1" applyFill="1" applyBorder="1" applyAlignment="1" applyProtection="1">
      <alignment horizontal="center" wrapText="1"/>
    </xf>
    <xf numFmtId="177" fontId="11" fillId="4" borderId="0" xfId="41" applyNumberFormat="1" applyFont="1" applyFill="1" applyBorder="1" applyAlignment="1" applyProtection="1">
      <alignment horizontal="right"/>
    </xf>
    <xf numFmtId="177" fontId="11" fillId="4" borderId="5" xfId="41" applyNumberFormat="1" applyFont="1" applyFill="1" applyBorder="1" applyAlignment="1" applyProtection="1">
      <alignment horizontal="right"/>
    </xf>
    <xf numFmtId="0" fontId="11" fillId="4" borderId="9" xfId="3" applyFont="1" applyFill="1" applyBorder="1" applyAlignment="1" applyProtection="1">
      <alignment horizontal="center"/>
    </xf>
    <xf numFmtId="177" fontId="11" fillId="4" borderId="10" xfId="41" applyNumberFormat="1" applyFont="1" applyFill="1" applyBorder="1" applyAlignment="1" applyProtection="1">
      <alignment horizontal="right"/>
    </xf>
    <xf numFmtId="177" fontId="11" fillId="4" borderId="11" xfId="41" applyNumberFormat="1" applyFont="1" applyFill="1" applyBorder="1" applyAlignment="1" applyProtection="1">
      <alignment horizontal="right"/>
    </xf>
    <xf numFmtId="0" fontId="5" fillId="3" borderId="0" xfId="18" applyFont="1" applyFill="1" applyBorder="1" applyAlignment="1" applyProtection="1">
      <alignment horizontal="right"/>
    </xf>
    <xf numFmtId="165" fontId="11" fillId="4" borderId="13" xfId="42" applyNumberFormat="1" applyFont="1" applyFill="1" applyBorder="1" applyAlignment="1" applyProtection="1">
      <alignment horizontal="right"/>
    </xf>
    <xf numFmtId="0" fontId="11" fillId="4" borderId="12" xfId="3" applyFont="1" applyFill="1" applyBorder="1" applyAlignment="1" applyProtection="1"/>
    <xf numFmtId="0" fontId="11" fillId="4" borderId="3" xfId="3" applyFont="1" applyFill="1" applyBorder="1" applyAlignment="1" applyProtection="1">
      <alignment horizontal="center" wrapText="1"/>
    </xf>
    <xf numFmtId="179" fontId="11" fillId="4" borderId="14" xfId="19" applyNumberFormat="1" applyFont="1" applyFill="1" applyBorder="1" applyAlignment="1" applyProtection="1">
      <alignment horizontal="right"/>
    </xf>
    <xf numFmtId="0" fontId="11" fillId="4" borderId="4" xfId="3" applyFont="1" applyFill="1" applyBorder="1" applyAlignment="1" applyProtection="1"/>
    <xf numFmtId="0" fontId="11" fillId="4" borderId="5" xfId="3" applyFont="1" applyFill="1" applyBorder="1" applyAlignment="1" applyProtection="1">
      <alignment horizontal="center" wrapText="1"/>
    </xf>
    <xf numFmtId="179" fontId="9" fillId="3" borderId="4" xfId="19" applyNumberFormat="1" applyFont="1" applyFill="1" applyBorder="1" applyProtection="1"/>
    <xf numFmtId="179" fontId="5" fillId="3" borderId="0" xfId="19" applyNumberFormat="1" applyFont="1" applyFill="1" applyBorder="1" applyProtection="1"/>
    <xf numFmtId="179" fontId="11" fillId="4" borderId="15" xfId="19" applyNumberFormat="1" applyFont="1" applyFill="1" applyBorder="1" applyAlignment="1" applyProtection="1">
      <alignment horizontal="right"/>
    </xf>
    <xf numFmtId="0" fontId="11" fillId="4" borderId="9" xfId="3" applyFont="1" applyFill="1" applyBorder="1" applyAlignment="1" applyProtection="1"/>
    <xf numFmtId="0" fontId="11" fillId="4" borderId="11" xfId="3" applyFont="1" applyFill="1" applyBorder="1" applyAlignment="1" applyProtection="1">
      <alignment horizontal="center" wrapText="1"/>
    </xf>
    <xf numFmtId="0" fontId="11" fillId="4" borderId="0" xfId="3" applyFont="1" applyFill="1" applyBorder="1" applyAlignment="1" applyProtection="1">
      <alignment horizontal="center" wrapText="1"/>
    </xf>
    <xf numFmtId="179" fontId="11" fillId="4" borderId="13" xfId="19" applyNumberFormat="1" applyFont="1" applyFill="1" applyBorder="1" applyAlignment="1" applyProtection="1">
      <alignment horizontal="right" wrapText="1"/>
    </xf>
    <xf numFmtId="0" fontId="11" fillId="4" borderId="12" xfId="3" applyFont="1" applyFill="1" applyBorder="1" applyAlignment="1" applyProtection="1">
      <alignment wrapText="1"/>
    </xf>
    <xf numFmtId="179" fontId="11" fillId="4" borderId="15" xfId="19" applyNumberFormat="1" applyFont="1" applyFill="1" applyBorder="1" applyAlignment="1" applyProtection="1">
      <alignment horizontal="right" wrapText="1"/>
    </xf>
    <xf numFmtId="10" fontId="5" fillId="3" borderId="0" xfId="18" applyNumberFormat="1" applyFont="1" applyFill="1" applyBorder="1" applyProtection="1"/>
    <xf numFmtId="2" fontId="9" fillId="3" borderId="9" xfId="3" applyNumberFormat="1" applyFont="1" applyFill="1" applyBorder="1" applyAlignment="1" applyProtection="1">
      <alignment horizontal="center"/>
    </xf>
    <xf numFmtId="0" fontId="10" fillId="3" borderId="10" xfId="3" applyFont="1" applyFill="1" applyBorder="1" applyProtection="1"/>
    <xf numFmtId="0" fontId="5" fillId="3" borderId="10" xfId="18" applyFont="1" applyFill="1" applyBorder="1" applyProtection="1"/>
    <xf numFmtId="0" fontId="5" fillId="3" borderId="11" xfId="18" applyFont="1" applyFill="1" applyBorder="1" applyProtection="1"/>
    <xf numFmtId="0" fontId="5" fillId="0" borderId="20" xfId="18" applyFont="1" applyBorder="1" applyAlignment="1" applyProtection="1">
      <alignment horizontal="right"/>
    </xf>
    <xf numFmtId="9" fontId="5" fillId="0" borderId="20" xfId="19" applyFont="1" applyBorder="1" applyProtection="1"/>
    <xf numFmtId="0" fontId="11" fillId="0" borderId="0" xfId="18" applyFont="1" applyAlignment="1" applyProtection="1">
      <alignment horizontal="center"/>
    </xf>
    <xf numFmtId="0" fontId="5" fillId="0" borderId="20" xfId="18" applyFont="1" applyBorder="1" applyAlignment="1" applyProtection="1">
      <alignment horizontal="right" wrapText="1"/>
    </xf>
    <xf numFmtId="177" fontId="9" fillId="0" borderId="0" xfId="41" applyNumberFormat="1" applyFont="1" applyProtection="1"/>
    <xf numFmtId="179" fontId="11" fillId="0" borderId="0" xfId="3" applyNumberFormat="1" applyFont="1" applyProtection="1"/>
    <xf numFmtId="0" fontId="5" fillId="0" borderId="20" xfId="18" applyFont="1" applyBorder="1" applyProtection="1"/>
    <xf numFmtId="177" fontId="9" fillId="0" borderId="20" xfId="41" applyNumberFormat="1" applyFont="1" applyBorder="1" applyProtection="1"/>
    <xf numFmtId="179" fontId="11" fillId="0" borderId="20" xfId="3" applyNumberFormat="1" applyFont="1" applyBorder="1" applyProtection="1"/>
    <xf numFmtId="179" fontId="11" fillId="0" borderId="20" xfId="19" applyNumberFormat="1" applyFont="1" applyBorder="1" applyProtection="1"/>
    <xf numFmtId="179" fontId="5" fillId="0" borderId="0" xfId="18" applyNumberFormat="1" applyFont="1" applyProtection="1"/>
    <xf numFmtId="179" fontId="9" fillId="0" borderId="0" xfId="19" applyNumberFormat="1" applyFont="1" applyProtection="1"/>
    <xf numFmtId="2" fontId="9" fillId="0" borderId="0" xfId="18" applyNumberFormat="1" applyFont="1" applyProtection="1"/>
    <xf numFmtId="0" fontId="9" fillId="0" borderId="0" xfId="18" applyFont="1" applyFill="1" applyProtection="1"/>
    <xf numFmtId="179" fontId="5" fillId="8" borderId="0" xfId="18" applyNumberFormat="1" applyFont="1" applyFill="1" applyProtection="1"/>
    <xf numFmtId="0" fontId="51" fillId="0" borderId="0" xfId="18" applyFont="1" applyFill="1" applyProtection="1"/>
    <xf numFmtId="179" fontId="51" fillId="0" borderId="0" xfId="19" applyNumberFormat="1" applyFont="1" applyFill="1" applyProtection="1"/>
    <xf numFmtId="10" fontId="51" fillId="0" borderId="0" xfId="19" applyNumberFormat="1" applyFont="1" applyFill="1" applyProtection="1"/>
    <xf numFmtId="180" fontId="11" fillId="0" borderId="0" xfId="3" applyNumberFormat="1" applyFont="1" applyProtection="1"/>
    <xf numFmtId="179" fontId="5" fillId="0" borderId="0" xfId="19" applyNumberFormat="1" applyFont="1" applyFill="1" applyProtection="1"/>
    <xf numFmtId="179" fontId="5" fillId="0" borderId="0" xfId="18" applyNumberFormat="1" applyFont="1" applyFill="1" applyProtection="1"/>
    <xf numFmtId="10" fontId="5" fillId="0" borderId="0" xfId="19" applyNumberFormat="1" applyFont="1" applyFill="1" applyProtection="1"/>
    <xf numFmtId="171" fontId="10" fillId="3" borderId="12" xfId="3" applyNumberFormat="1" applyFont="1" applyFill="1" applyBorder="1" applyAlignment="1" applyProtection="1">
      <alignment horizontal="center" vertical="center"/>
    </xf>
    <xf numFmtId="171" fontId="10" fillId="3" borderId="4" xfId="3" applyNumberFormat="1" applyFont="1" applyFill="1" applyBorder="1" applyAlignment="1" applyProtection="1">
      <alignment horizontal="center" vertical="center"/>
    </xf>
    <xf numFmtId="171" fontId="10" fillId="3" borderId="9" xfId="3" applyNumberFormat="1" applyFont="1" applyFill="1" applyBorder="1" applyAlignment="1" applyProtection="1">
      <alignment horizontal="center" vertical="center"/>
    </xf>
    <xf numFmtId="171" fontId="10" fillId="3" borderId="2" xfId="3" applyNumberFormat="1" applyFont="1" applyFill="1" applyBorder="1" applyAlignment="1" applyProtection="1">
      <alignment horizontal="center" vertical="center"/>
    </xf>
    <xf numFmtId="171" fontId="10" fillId="3" borderId="0" xfId="3" applyNumberFormat="1" applyFont="1" applyFill="1" applyBorder="1" applyAlignment="1" applyProtection="1">
      <alignment horizontal="center" vertical="center"/>
    </xf>
    <xf numFmtId="171" fontId="10" fillId="3" borderId="10" xfId="3" applyNumberFormat="1" applyFont="1" applyFill="1" applyBorder="1" applyAlignment="1" applyProtection="1">
      <alignment horizontal="center" vertical="center"/>
    </xf>
    <xf numFmtId="0" fontId="11" fillId="4" borderId="2" xfId="18" applyFont="1" applyFill="1" applyBorder="1" applyAlignment="1" applyProtection="1">
      <alignment horizontal="center" vertical="center"/>
    </xf>
    <xf numFmtId="0" fontId="11" fillId="4" borderId="3" xfId="18" applyFont="1" applyFill="1" applyBorder="1" applyAlignment="1" applyProtection="1">
      <alignment horizontal="center" vertical="center"/>
    </xf>
    <xf numFmtId="0" fontId="10" fillId="4" borderId="6" xfId="3" applyFont="1" applyFill="1" applyBorder="1" applyAlignment="1" applyProtection="1">
      <alignment horizontal="center" vertical="center"/>
    </xf>
    <xf numFmtId="0" fontId="10" fillId="4" borderId="7" xfId="3" applyFont="1" applyFill="1" applyBorder="1" applyAlignment="1" applyProtection="1">
      <alignment horizontal="center" vertical="center"/>
    </xf>
    <xf numFmtId="0" fontId="10" fillId="4" borderId="8" xfId="3" applyFont="1" applyFill="1" applyBorder="1" applyAlignment="1" applyProtection="1">
      <alignment horizontal="center" vertical="center"/>
    </xf>
    <xf numFmtId="0" fontId="5" fillId="3" borderId="6" xfId="18" applyFont="1" applyFill="1" applyBorder="1" applyAlignment="1" applyProtection="1">
      <alignment horizontal="center"/>
    </xf>
    <xf numFmtId="0" fontId="5" fillId="3" borderId="7" xfId="18" applyFont="1" applyFill="1" applyBorder="1" applyAlignment="1" applyProtection="1">
      <alignment horizontal="center"/>
    </xf>
    <xf numFmtId="0" fontId="5" fillId="3" borderId="8" xfId="18" applyFont="1" applyFill="1" applyBorder="1" applyAlignment="1" applyProtection="1">
      <alignment horizontal="center"/>
    </xf>
    <xf numFmtId="0" fontId="5" fillId="3" borderId="12" xfId="1" applyFont="1" applyFill="1" applyBorder="1" applyAlignment="1" applyProtection="1">
      <alignment horizontal="center" vertical="center"/>
    </xf>
    <xf numFmtId="0" fontId="5" fillId="3" borderId="9" xfId="1" applyFont="1" applyFill="1" applyBorder="1" applyAlignment="1" applyProtection="1">
      <alignment horizontal="center" vertical="center"/>
    </xf>
    <xf numFmtId="171" fontId="5" fillId="3" borderId="2" xfId="1" applyNumberFormat="1" applyFont="1" applyFill="1" applyBorder="1" applyAlignment="1" applyProtection="1">
      <alignment horizontal="left" vertical="center"/>
    </xf>
    <xf numFmtId="171" fontId="5" fillId="3" borderId="10" xfId="1" applyNumberFormat="1" applyFont="1" applyFill="1" applyBorder="1" applyAlignment="1" applyProtection="1">
      <alignment horizontal="left" vertical="center"/>
    </xf>
    <xf numFmtId="0" fontId="5" fillId="3" borderId="4" xfId="1" applyFont="1" applyFill="1" applyBorder="1" applyAlignment="1" applyProtection="1">
      <alignment horizontal="center" vertical="center"/>
    </xf>
    <xf numFmtId="171" fontId="5" fillId="3" borderId="0" xfId="1" applyNumberFormat="1" applyFont="1" applyFill="1" applyBorder="1" applyAlignment="1" applyProtection="1">
      <alignment horizontal="left" vertical="center"/>
    </xf>
    <xf numFmtId="0" fontId="5" fillId="3" borderId="12" xfId="1" applyFont="1" applyFill="1" applyBorder="1" applyAlignment="1" applyProtection="1">
      <alignment horizontal="center"/>
    </xf>
    <xf numFmtId="0" fontId="5" fillId="3" borderId="9" xfId="1" applyFont="1" applyFill="1" applyBorder="1" applyAlignment="1" applyProtection="1">
      <alignment horizontal="center"/>
    </xf>
    <xf numFmtId="0" fontId="5" fillId="3" borderId="2" xfId="1" applyFont="1" applyFill="1" applyBorder="1" applyAlignment="1" applyProtection="1">
      <alignment horizontal="left"/>
    </xf>
    <xf numFmtId="0" fontId="5" fillId="3" borderId="10" xfId="1" applyFont="1" applyFill="1" applyBorder="1" applyAlignment="1" applyProtection="1">
      <alignment horizontal="left"/>
    </xf>
    <xf numFmtId="0" fontId="5" fillId="3" borderId="2" xfId="1" applyFont="1" applyFill="1" applyBorder="1" applyAlignment="1" applyProtection="1">
      <alignment horizontal="center"/>
    </xf>
    <xf numFmtId="0" fontId="5" fillId="3" borderId="10" xfId="1" applyFont="1" applyFill="1" applyBorder="1" applyAlignment="1" applyProtection="1">
      <alignment horizontal="center"/>
    </xf>
    <xf numFmtId="0" fontId="5" fillId="3" borderId="12" xfId="1" applyFont="1" applyFill="1" applyBorder="1" applyAlignment="1" applyProtection="1">
      <alignment horizontal="center" vertical="center" wrapText="1"/>
    </xf>
    <xf numFmtId="0" fontId="5" fillId="3" borderId="4" xfId="1" applyFont="1" applyFill="1" applyBorder="1" applyAlignment="1" applyProtection="1">
      <alignment horizontal="center" vertical="center" wrapText="1"/>
    </xf>
    <xf numFmtId="0" fontId="5" fillId="3" borderId="9" xfId="1" applyFont="1" applyFill="1" applyBorder="1" applyAlignment="1" applyProtection="1">
      <alignment horizontal="center" vertical="center" wrapText="1"/>
    </xf>
    <xf numFmtId="0" fontId="2" fillId="6" borderId="0" xfId="1" applyFill="1" applyAlignment="1">
      <alignment horizontal="left" vertical="center" wrapText="1"/>
    </xf>
    <xf numFmtId="0" fontId="10" fillId="3" borderId="7" xfId="38" applyFont="1" applyFill="1" applyBorder="1" applyAlignment="1" applyProtection="1">
      <alignment horizontal="center"/>
    </xf>
    <xf numFmtId="0" fontId="10" fillId="3" borderId="8" xfId="38" applyFont="1" applyFill="1" applyBorder="1" applyAlignment="1" applyProtection="1">
      <alignment horizontal="center"/>
    </xf>
  </cellXfs>
  <cellStyles count="43">
    <cellStyle name="Comma [0] 2" xfId="26" xr:uid="{00000000-0005-0000-0000-000000000000}"/>
    <cellStyle name="Comma 2" xfId="5" xr:uid="{00000000-0005-0000-0000-000001000000}"/>
    <cellStyle name="Comma 2 2" xfId="31" xr:uid="{00000000-0005-0000-0000-000002000000}"/>
    <cellStyle name="Comma 2 3" xfId="36" xr:uid="{00000000-0005-0000-0000-000003000000}"/>
    <cellStyle name="Comma 2 3 2" xfId="14" xr:uid="{00000000-0005-0000-0000-000004000000}"/>
    <cellStyle name="Comma 3" xfId="24" xr:uid="{00000000-0005-0000-0000-000005000000}"/>
    <cellStyle name="Comma 3 2" xfId="32" xr:uid="{00000000-0005-0000-0000-000006000000}"/>
    <cellStyle name="Comma 3 3" xfId="41" xr:uid="{00000000-0005-0000-0000-000007000000}"/>
    <cellStyle name="Comma 4" xfId="4" xr:uid="{00000000-0005-0000-0000-000008000000}"/>
    <cellStyle name="Comma 4 2" xfId="6" xr:uid="{00000000-0005-0000-0000-000009000000}"/>
    <cellStyle name="Comma 5" xfId="30" xr:uid="{00000000-0005-0000-0000-00000A000000}"/>
    <cellStyle name="Comma 6" xfId="37" xr:uid="{00000000-0005-0000-0000-00000B000000}"/>
    <cellStyle name="Currency 2" xfId="7" xr:uid="{00000000-0005-0000-0000-00000C000000}"/>
    <cellStyle name="Currency 2 3" xfId="42" xr:uid="{00000000-0005-0000-0000-00000D000000}"/>
    <cellStyle name="Currency 3" xfId="25" xr:uid="{00000000-0005-0000-0000-00000E000000}"/>
    <cellStyle name="Currency 3 2" xfId="27" xr:uid="{00000000-0005-0000-0000-00000F000000}"/>
    <cellStyle name="Explanatory Text 2" xfId="2" xr:uid="{00000000-0005-0000-0000-000010000000}"/>
    <cellStyle name="Explanatory Text 2 2" xfId="8" xr:uid="{00000000-0005-0000-0000-000011000000}"/>
    <cellStyle name="Explanatory Text 3" xfId="17" xr:uid="{00000000-0005-0000-0000-000012000000}"/>
    <cellStyle name="Neutral 2" xfId="9" xr:uid="{00000000-0005-0000-0000-000013000000}"/>
    <cellStyle name="Normal" xfId="0" builtinId="0"/>
    <cellStyle name="Normal 2" xfId="16" xr:uid="{00000000-0005-0000-0000-000015000000}"/>
    <cellStyle name="Normal 2 2" xfId="1" xr:uid="{00000000-0005-0000-0000-000016000000}"/>
    <cellStyle name="Normal 2 2 2" xfId="10" xr:uid="{00000000-0005-0000-0000-000017000000}"/>
    <cellStyle name="Normal 2 2 3" xfId="11" xr:uid="{00000000-0005-0000-0000-000018000000}"/>
    <cellStyle name="Normal 2 2 4" xfId="33" xr:uid="{00000000-0005-0000-0000-000019000000}"/>
    <cellStyle name="Normal 2 3" xfId="3" xr:uid="{00000000-0005-0000-0000-00001A000000}"/>
    <cellStyle name="Normal 2 3 2" xfId="12" xr:uid="{00000000-0005-0000-0000-00001B000000}"/>
    <cellStyle name="Normal 2 3 3" xfId="34" xr:uid="{00000000-0005-0000-0000-00001C000000}"/>
    <cellStyle name="Normal 2 4" xfId="28" xr:uid="{00000000-0005-0000-0000-00001D000000}"/>
    <cellStyle name="Normal 2 5" xfId="29" xr:uid="{00000000-0005-0000-0000-00001E000000}"/>
    <cellStyle name="Normal 3" xfId="35" xr:uid="{00000000-0005-0000-0000-00001F000000}"/>
    <cellStyle name="Normal 3 2" xfId="20" xr:uid="{00000000-0005-0000-0000-000020000000}"/>
    <cellStyle name="Normal 4" xfId="38" xr:uid="{00000000-0005-0000-0000-000021000000}"/>
    <cellStyle name="Normal 4 2" xfId="18" xr:uid="{00000000-0005-0000-0000-000022000000}"/>
    <cellStyle name="Normal 4 2 2" xfId="22" xr:uid="{00000000-0005-0000-0000-000023000000}"/>
    <cellStyle name="Percent 2" xfId="13" xr:uid="{00000000-0005-0000-0000-000024000000}"/>
    <cellStyle name="Percent 2 2" xfId="19" xr:uid="{00000000-0005-0000-0000-000025000000}"/>
    <cellStyle name="Percent 2 2 2" xfId="21" xr:uid="{00000000-0005-0000-0000-000026000000}"/>
    <cellStyle name="Percent 3 2 2" xfId="39" xr:uid="{00000000-0005-0000-0000-000027000000}"/>
    <cellStyle name="Percent 3 2 2 2" xfId="40" xr:uid="{00000000-0005-0000-0000-000028000000}"/>
    <cellStyle name="Percent 3 3" xfId="15" xr:uid="{00000000-0005-0000-0000-000029000000}"/>
    <cellStyle name="Percent 3 3 2" xfId="23" xr:uid="{00000000-0005-0000-0000-00002A000000}"/>
  </cellStyles>
  <dxfs count="3">
    <dxf>
      <font>
        <color rgb="FF9C0006"/>
      </font>
      <fill>
        <patternFill>
          <bgColor rgb="FFFFC7CE"/>
        </patternFill>
      </fill>
    </dxf>
    <dxf>
      <fill>
        <patternFill>
          <bgColor theme="9"/>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8</xdr:row>
      <xdr:rowOff>133350</xdr:rowOff>
    </xdr:from>
    <xdr:to>
      <xdr:col>10</xdr:col>
      <xdr:colOff>285750</xdr:colOff>
      <xdr:row>39</xdr:row>
      <xdr:rowOff>114300</xdr:rowOff>
    </xdr:to>
    <xdr:pic>
      <xdr:nvPicPr>
        <xdr:cNvPr id="2" name="Picture 1">
          <a:extLst>
            <a:ext uri="{FF2B5EF4-FFF2-40B4-BE49-F238E27FC236}">
              <a16:creationId xmlns:a16="http://schemas.microsoft.com/office/drawing/2014/main" id="{18F2E049-6D1B-42AD-9EB1-6C8AB0BB9F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733550"/>
          <a:ext cx="8620125" cy="618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737383</xdr:colOff>
      <xdr:row>12</xdr:row>
      <xdr:rowOff>51885</xdr:rowOff>
    </xdr:from>
    <xdr:ext cx="277833" cy="311496"/>
    <xdr:sp macro="" textlink="">
      <xdr:nvSpPr>
        <xdr:cNvPr id="3" name="Rectangle 2">
          <a:extLst>
            <a:ext uri="{FF2B5EF4-FFF2-40B4-BE49-F238E27FC236}">
              <a16:creationId xmlns:a16="http://schemas.microsoft.com/office/drawing/2014/main" id="{E40FE429-1E74-4CF0-A0C0-9A94868168C4}"/>
            </a:ext>
          </a:extLst>
        </xdr:cNvPr>
        <xdr:cNvSpPr/>
      </xdr:nvSpPr>
      <xdr:spPr>
        <a:xfrm>
          <a:off x="2547133" y="2452185"/>
          <a:ext cx="277833" cy="311496"/>
        </a:xfrm>
        <a:prstGeom prst="rect">
          <a:avLst/>
        </a:prstGeom>
        <a:noFill/>
      </xdr:spPr>
      <xdr:txBody>
        <a:bodyPr wrap="none" lIns="91440" tIns="45720" rIns="91440" bIns="45720">
          <a:spAutoFit/>
        </a:bodyPr>
        <a:lstStyle/>
        <a:p>
          <a:pPr algn="ctr"/>
          <a:r>
            <a:rPr lang="en-US" sz="1400" b="0" cap="none" spc="0">
              <a:ln w="0"/>
              <a:solidFill>
                <a:schemeClr val="tx1"/>
              </a:solidFill>
              <a:effectLst>
                <a:outerShdw blurRad="38100" dist="19050" dir="2700000" algn="tl" rotWithShape="0">
                  <a:schemeClr val="dk1">
                    <a:alpha val="40000"/>
                  </a:schemeClr>
                </a:outerShdw>
              </a:effectLst>
            </a:rPr>
            <a:t>X</a:t>
          </a:r>
        </a:p>
      </xdr:txBody>
    </xdr:sp>
    <xdr:clientData/>
  </xdr:oneCellAnchor>
  <xdr:oneCellAnchor>
    <xdr:from>
      <xdr:col>3</xdr:col>
      <xdr:colOff>578311</xdr:colOff>
      <xdr:row>29</xdr:row>
      <xdr:rowOff>102685</xdr:rowOff>
    </xdr:from>
    <xdr:ext cx="272127" cy="311496"/>
    <xdr:sp macro="" textlink="">
      <xdr:nvSpPr>
        <xdr:cNvPr id="4" name="Rectangle 3">
          <a:extLst>
            <a:ext uri="{FF2B5EF4-FFF2-40B4-BE49-F238E27FC236}">
              <a16:creationId xmlns:a16="http://schemas.microsoft.com/office/drawing/2014/main" id="{4879DE1B-9F67-49DD-8203-29912D72C12F}"/>
            </a:ext>
          </a:extLst>
        </xdr:cNvPr>
        <xdr:cNvSpPr/>
      </xdr:nvSpPr>
      <xdr:spPr>
        <a:xfrm>
          <a:off x="3197686" y="5903410"/>
          <a:ext cx="272127" cy="311496"/>
        </a:xfrm>
        <a:prstGeom prst="rect">
          <a:avLst/>
        </a:prstGeom>
        <a:noFill/>
      </xdr:spPr>
      <xdr:txBody>
        <a:bodyPr wrap="none" lIns="91440" tIns="45720" rIns="91440" bIns="45720">
          <a:spAutoFit/>
        </a:bodyPr>
        <a:lstStyle/>
        <a:p>
          <a:pPr algn="ctr"/>
          <a:r>
            <a:rPr lang="en-US" sz="1400" b="0" cap="none" spc="0">
              <a:ln w="0"/>
              <a:solidFill>
                <a:schemeClr val="tx1"/>
              </a:solidFill>
              <a:effectLst>
                <a:outerShdw blurRad="38100" dist="19050" dir="2700000" algn="tl" rotWithShape="0">
                  <a:schemeClr val="dk1">
                    <a:alpha val="40000"/>
                  </a:schemeClr>
                </a:outerShdw>
              </a:effectLst>
            </a:rPr>
            <a:t>Y</a:t>
          </a:r>
        </a:p>
      </xdr:txBody>
    </xdr:sp>
    <xdr:clientData/>
  </xdr:oneCellAnchor>
  <xdr:twoCellAnchor>
    <xdr:from>
      <xdr:col>0</xdr:col>
      <xdr:colOff>609600</xdr:colOff>
      <xdr:row>9</xdr:row>
      <xdr:rowOff>111125</xdr:rowOff>
    </xdr:from>
    <xdr:to>
      <xdr:col>0</xdr:col>
      <xdr:colOff>660400</xdr:colOff>
      <xdr:row>32</xdr:row>
      <xdr:rowOff>149225</xdr:rowOff>
    </xdr:to>
    <xdr:cxnSp macro="">
      <xdr:nvCxnSpPr>
        <xdr:cNvPr id="5" name="Straight Connector 4">
          <a:extLst>
            <a:ext uri="{FF2B5EF4-FFF2-40B4-BE49-F238E27FC236}">
              <a16:creationId xmlns:a16="http://schemas.microsoft.com/office/drawing/2014/main" id="{DA6579A5-4DD5-41BE-84B3-A2B0D775ED1E}"/>
            </a:ext>
          </a:extLst>
        </xdr:cNvPr>
        <xdr:cNvCxnSpPr/>
      </xdr:nvCxnSpPr>
      <xdr:spPr>
        <a:xfrm flipV="1">
          <a:off x="609600" y="1911350"/>
          <a:ext cx="50800" cy="46386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431800</xdr:colOff>
      <xdr:row>31</xdr:row>
      <xdr:rowOff>128905</xdr:rowOff>
    </xdr:from>
    <xdr:to>
      <xdr:col>9</xdr:col>
      <xdr:colOff>31750</xdr:colOff>
      <xdr:row>31</xdr:row>
      <xdr:rowOff>141605</xdr:rowOff>
    </xdr:to>
    <xdr:cxnSp macro="">
      <xdr:nvCxnSpPr>
        <xdr:cNvPr id="6" name="Straight Connector 5">
          <a:extLst>
            <a:ext uri="{FF2B5EF4-FFF2-40B4-BE49-F238E27FC236}">
              <a16:creationId xmlns:a16="http://schemas.microsoft.com/office/drawing/2014/main" id="{42DE0542-86C9-49D1-BD36-643124FDE2A8}"/>
            </a:ext>
          </a:extLst>
        </xdr:cNvPr>
        <xdr:cNvCxnSpPr/>
      </xdr:nvCxnSpPr>
      <xdr:spPr>
        <a:xfrm>
          <a:off x="431800" y="6329680"/>
          <a:ext cx="7077075" cy="127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402780</xdr:colOff>
      <xdr:row>8</xdr:row>
      <xdr:rowOff>110211</xdr:rowOff>
    </xdr:from>
    <xdr:to>
      <xdr:col>10</xdr:col>
      <xdr:colOff>410944</xdr:colOff>
      <xdr:row>39</xdr:row>
      <xdr:rowOff>91161</xdr:rowOff>
    </xdr:to>
    <xdr:pic>
      <xdr:nvPicPr>
        <xdr:cNvPr id="2" name="Picture 1">
          <a:extLst>
            <a:ext uri="{FF2B5EF4-FFF2-40B4-BE49-F238E27FC236}">
              <a16:creationId xmlns:a16="http://schemas.microsoft.com/office/drawing/2014/main" id="{1D2C4D06-36A6-4521-8FAA-899678968B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780" y="1743068"/>
          <a:ext cx="8675914" cy="6308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155006</xdr:colOff>
      <xdr:row>10</xdr:row>
      <xdr:rowOff>130800</xdr:rowOff>
    </xdr:from>
    <xdr:ext cx="277833" cy="311496"/>
    <xdr:sp macro="" textlink="">
      <xdr:nvSpPr>
        <xdr:cNvPr id="3" name="Rectangle 2">
          <a:extLst>
            <a:ext uri="{FF2B5EF4-FFF2-40B4-BE49-F238E27FC236}">
              <a16:creationId xmlns:a16="http://schemas.microsoft.com/office/drawing/2014/main" id="{28D197B7-6A59-448A-AA29-669E69C60371}"/>
            </a:ext>
          </a:extLst>
        </xdr:cNvPr>
        <xdr:cNvSpPr/>
      </xdr:nvSpPr>
      <xdr:spPr>
        <a:xfrm>
          <a:off x="1978363" y="2171871"/>
          <a:ext cx="277833" cy="311496"/>
        </a:xfrm>
        <a:prstGeom prst="rect">
          <a:avLst/>
        </a:prstGeom>
        <a:noFill/>
      </xdr:spPr>
      <xdr:txBody>
        <a:bodyPr wrap="none" lIns="91440" tIns="45720" rIns="91440" bIns="45720">
          <a:spAutoFit/>
        </a:bodyPr>
        <a:lstStyle/>
        <a:p>
          <a:pPr algn="ctr"/>
          <a:r>
            <a:rPr lang="en-US" sz="1400" b="0" cap="none" spc="0">
              <a:ln w="0"/>
              <a:solidFill>
                <a:schemeClr val="tx1"/>
              </a:solidFill>
              <a:effectLst>
                <a:outerShdw blurRad="38100" dist="19050" dir="2700000" algn="tl" rotWithShape="0">
                  <a:schemeClr val="dk1">
                    <a:alpha val="40000"/>
                  </a:schemeClr>
                </a:outerShdw>
              </a:effectLst>
            </a:rPr>
            <a:t>X</a:t>
          </a:r>
        </a:p>
      </xdr:txBody>
    </xdr:sp>
    <xdr:clientData/>
  </xdr:oneCellAnchor>
  <xdr:oneCellAnchor>
    <xdr:from>
      <xdr:col>2</xdr:col>
      <xdr:colOff>805559</xdr:colOff>
      <xdr:row>27</xdr:row>
      <xdr:rowOff>181599</xdr:rowOff>
    </xdr:from>
    <xdr:ext cx="272127" cy="311496"/>
    <xdr:sp macro="" textlink="">
      <xdr:nvSpPr>
        <xdr:cNvPr id="4" name="Rectangle 3">
          <a:extLst>
            <a:ext uri="{FF2B5EF4-FFF2-40B4-BE49-F238E27FC236}">
              <a16:creationId xmlns:a16="http://schemas.microsoft.com/office/drawing/2014/main" id="{113327AB-E675-471C-9F8F-5B28A0DAC0FA}"/>
            </a:ext>
          </a:extLst>
        </xdr:cNvPr>
        <xdr:cNvSpPr/>
      </xdr:nvSpPr>
      <xdr:spPr>
        <a:xfrm>
          <a:off x="2628916" y="5692492"/>
          <a:ext cx="272127" cy="311496"/>
        </a:xfrm>
        <a:prstGeom prst="rect">
          <a:avLst/>
        </a:prstGeom>
        <a:noFill/>
      </xdr:spPr>
      <xdr:txBody>
        <a:bodyPr wrap="none" lIns="91440" tIns="45720" rIns="91440" bIns="45720">
          <a:spAutoFit/>
        </a:bodyPr>
        <a:lstStyle/>
        <a:p>
          <a:pPr algn="ctr"/>
          <a:r>
            <a:rPr lang="en-US" sz="1400" b="0" cap="none" spc="0">
              <a:ln w="0"/>
              <a:solidFill>
                <a:schemeClr val="tx1"/>
              </a:solidFill>
              <a:effectLst>
                <a:outerShdw blurRad="38100" dist="19050" dir="2700000" algn="tl" rotWithShape="0">
                  <a:schemeClr val="dk1">
                    <a:alpha val="40000"/>
                  </a:schemeClr>
                </a:outerShdw>
              </a:effectLst>
            </a:rPr>
            <a:t>Y</a:t>
          </a:r>
        </a:p>
      </xdr:txBody>
    </xdr:sp>
    <xdr:clientData/>
  </xdr:oneCellAnchor>
  <xdr:twoCellAnchor>
    <xdr:from>
      <xdr:col>0</xdr:col>
      <xdr:colOff>783780</xdr:colOff>
      <xdr:row>9</xdr:row>
      <xdr:rowOff>87985</xdr:rowOff>
    </xdr:from>
    <xdr:to>
      <xdr:col>0</xdr:col>
      <xdr:colOff>834580</xdr:colOff>
      <xdr:row>32</xdr:row>
      <xdr:rowOff>126085</xdr:rowOff>
    </xdr:to>
    <xdr:cxnSp macro="">
      <xdr:nvCxnSpPr>
        <xdr:cNvPr id="5" name="Straight Connector 4">
          <a:extLst>
            <a:ext uri="{FF2B5EF4-FFF2-40B4-BE49-F238E27FC236}">
              <a16:creationId xmlns:a16="http://schemas.microsoft.com/office/drawing/2014/main" id="{004CC7DB-20C0-4DD5-B28D-117F52839B20}"/>
            </a:ext>
          </a:extLst>
        </xdr:cNvPr>
        <xdr:cNvCxnSpPr/>
      </xdr:nvCxnSpPr>
      <xdr:spPr>
        <a:xfrm flipV="1">
          <a:off x="783780" y="1924949"/>
          <a:ext cx="50800" cy="473256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605980</xdr:colOff>
      <xdr:row>31</xdr:row>
      <xdr:rowOff>105765</xdr:rowOff>
    </xdr:from>
    <xdr:to>
      <xdr:col>9</xdr:col>
      <xdr:colOff>23594</xdr:colOff>
      <xdr:row>31</xdr:row>
      <xdr:rowOff>118465</xdr:rowOff>
    </xdr:to>
    <xdr:cxnSp macro="">
      <xdr:nvCxnSpPr>
        <xdr:cNvPr id="6" name="Straight Connector 5">
          <a:extLst>
            <a:ext uri="{FF2B5EF4-FFF2-40B4-BE49-F238E27FC236}">
              <a16:creationId xmlns:a16="http://schemas.microsoft.com/office/drawing/2014/main" id="{B30D30BB-906E-4323-B733-496323BCB01C}"/>
            </a:ext>
          </a:extLst>
        </xdr:cNvPr>
        <xdr:cNvCxnSpPr/>
      </xdr:nvCxnSpPr>
      <xdr:spPr>
        <a:xfrm>
          <a:off x="605980" y="6433086"/>
          <a:ext cx="7119257" cy="127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712133</xdr:colOff>
      <xdr:row>1</xdr:row>
      <xdr:rowOff>239806</xdr:rowOff>
    </xdr:from>
    <xdr:to>
      <xdr:col>6</xdr:col>
      <xdr:colOff>521072</xdr:colOff>
      <xdr:row>1</xdr:row>
      <xdr:rowOff>971550</xdr:rowOff>
    </xdr:to>
    <xdr:sp macro="" textlink="">
      <xdr:nvSpPr>
        <xdr:cNvPr id="3" name="TextBox 2">
          <a:extLst>
            <a:ext uri="{FF2B5EF4-FFF2-40B4-BE49-F238E27FC236}">
              <a16:creationId xmlns:a16="http://schemas.microsoft.com/office/drawing/2014/main" id="{00000000-0008-0000-2A00-000003000000}"/>
            </a:ext>
          </a:extLst>
        </xdr:cNvPr>
        <xdr:cNvSpPr txBox="1"/>
      </xdr:nvSpPr>
      <xdr:spPr>
        <a:xfrm>
          <a:off x="712133" y="439831"/>
          <a:ext cx="5047689" cy="731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As noted in the Examiner’s Report, Question 21 was considered to be defective. However it was graded as noted in the Examiner’s Report, with full credit given for the response shown here.</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W200"/>
  <sheetViews>
    <sheetView tabSelected="1" workbookViewId="0"/>
  </sheetViews>
  <sheetFormatPr defaultRowHeight="14.25" x14ac:dyDescent="0.2"/>
  <cols>
    <col min="3" max="3" width="20.75" customWidth="1"/>
    <col min="4" max="4" width="15.75" bestFit="1" customWidth="1"/>
    <col min="5" max="5" width="13.375" customWidth="1"/>
    <col min="6" max="6" width="20.625" customWidth="1"/>
  </cols>
  <sheetData>
    <row r="1" spans="1:699" ht="15" thickBot="1" x14ac:dyDescent="0.25">
      <c r="A1" s="1">
        <v>1</v>
      </c>
      <c r="B1" s="2"/>
      <c r="C1" s="3"/>
      <c r="D1" s="3"/>
      <c r="E1" s="3"/>
      <c r="F1" s="4"/>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c r="IW1" s="6"/>
      <c r="IX1" s="6"/>
      <c r="IY1" s="6"/>
      <c r="IZ1" s="6"/>
      <c r="JA1" s="6"/>
      <c r="JB1" s="6"/>
      <c r="JC1" s="6"/>
      <c r="JD1" s="6"/>
      <c r="JE1" s="6"/>
      <c r="JF1" s="6"/>
      <c r="JG1" s="6"/>
      <c r="JH1" s="6"/>
      <c r="JI1" s="6"/>
      <c r="JJ1" s="6"/>
      <c r="JK1" s="6"/>
      <c r="JL1" s="6"/>
      <c r="JM1" s="6"/>
      <c r="JN1" s="6"/>
      <c r="JO1" s="6"/>
      <c r="JP1" s="6"/>
      <c r="JQ1" s="6"/>
      <c r="JR1" s="6"/>
      <c r="JS1" s="6"/>
      <c r="JT1" s="6"/>
      <c r="JU1" s="6"/>
      <c r="JV1" s="6"/>
      <c r="JW1" s="6"/>
      <c r="JX1" s="6"/>
      <c r="JY1" s="6"/>
      <c r="JZ1" s="6"/>
      <c r="KA1" s="6"/>
      <c r="KB1" s="6"/>
      <c r="KC1" s="6"/>
      <c r="KD1" s="6"/>
      <c r="KE1" s="6"/>
      <c r="KF1" s="6"/>
      <c r="KG1" s="6"/>
      <c r="KH1" s="6"/>
      <c r="KI1" s="6"/>
      <c r="KJ1" s="6"/>
      <c r="KK1" s="6"/>
      <c r="KL1" s="6"/>
      <c r="KM1" s="6"/>
      <c r="KN1" s="6"/>
      <c r="KO1" s="6"/>
      <c r="KP1" s="6"/>
      <c r="KQ1" s="6"/>
      <c r="KR1" s="6"/>
      <c r="KS1" s="6"/>
      <c r="KT1" s="6"/>
      <c r="KU1" s="6"/>
      <c r="KV1" s="6"/>
      <c r="KW1" s="6"/>
      <c r="KX1" s="6"/>
      <c r="KY1" s="6"/>
      <c r="KZ1" s="6"/>
      <c r="LA1" s="6"/>
      <c r="LB1" s="6"/>
      <c r="LC1" s="6"/>
      <c r="LD1" s="6"/>
      <c r="LE1" s="6"/>
      <c r="LF1" s="6"/>
      <c r="LG1" s="6"/>
      <c r="LH1" s="6"/>
      <c r="LI1" s="6"/>
      <c r="LJ1" s="6"/>
      <c r="LK1" s="6"/>
      <c r="LL1" s="6"/>
      <c r="LM1" s="6"/>
      <c r="LN1" s="6"/>
      <c r="LO1" s="6"/>
      <c r="LP1" s="6"/>
      <c r="LQ1" s="6"/>
      <c r="LR1" s="6"/>
      <c r="LS1" s="6"/>
      <c r="LT1" s="6"/>
      <c r="LU1" s="6"/>
      <c r="LV1" s="6"/>
      <c r="LW1" s="6"/>
      <c r="LX1" s="6"/>
      <c r="LY1" s="6"/>
      <c r="LZ1" s="6"/>
      <c r="MA1" s="6"/>
      <c r="MB1" s="6"/>
      <c r="MC1" s="6"/>
      <c r="MD1" s="6"/>
      <c r="ME1" s="6"/>
      <c r="MF1" s="6"/>
      <c r="MG1" s="6"/>
      <c r="MH1" s="6"/>
      <c r="MI1" s="6"/>
      <c r="MJ1" s="6"/>
      <c r="MK1" s="6"/>
      <c r="ML1" s="6"/>
      <c r="MM1" s="6"/>
      <c r="MN1" s="6"/>
      <c r="MO1" s="6"/>
      <c r="MP1" s="6"/>
      <c r="MQ1" s="6"/>
      <c r="MR1" s="6"/>
      <c r="MS1" s="6"/>
      <c r="MT1" s="6"/>
      <c r="MU1" s="6"/>
      <c r="MV1" s="6"/>
      <c r="MW1" s="6"/>
      <c r="MX1" s="6"/>
      <c r="MY1" s="6"/>
      <c r="MZ1" s="6"/>
      <c r="NA1" s="6"/>
      <c r="NB1" s="6"/>
      <c r="NC1" s="6"/>
      <c r="ND1" s="6"/>
      <c r="NE1" s="6"/>
      <c r="NF1" s="6"/>
      <c r="NG1" s="6"/>
      <c r="NH1" s="6"/>
      <c r="NI1" s="6"/>
      <c r="NJ1" s="6"/>
      <c r="NK1" s="6"/>
      <c r="NL1" s="6"/>
      <c r="NM1" s="6"/>
      <c r="NN1" s="6"/>
      <c r="NO1" s="6"/>
      <c r="NP1" s="6"/>
      <c r="NQ1" s="6"/>
      <c r="NR1" s="6"/>
      <c r="NS1" s="6"/>
      <c r="NT1" s="6"/>
      <c r="NU1" s="6"/>
      <c r="NV1" s="6"/>
      <c r="NW1" s="6"/>
      <c r="NX1" s="6"/>
      <c r="NY1" s="6"/>
      <c r="NZ1" s="6"/>
      <c r="OA1" s="6"/>
      <c r="OB1" s="6"/>
      <c r="OC1" s="6"/>
      <c r="OD1" s="6"/>
      <c r="OE1" s="6"/>
      <c r="OF1" s="6"/>
      <c r="OG1" s="6"/>
      <c r="OH1" s="6"/>
      <c r="OI1" s="6"/>
      <c r="OJ1" s="6"/>
      <c r="OK1" s="6"/>
      <c r="OL1" s="6"/>
      <c r="OM1" s="6"/>
      <c r="ON1" s="6"/>
      <c r="OO1" s="6"/>
      <c r="OP1" s="6"/>
      <c r="OQ1" s="6"/>
      <c r="OR1" s="6"/>
      <c r="OS1" s="6"/>
      <c r="OT1" s="6"/>
      <c r="OU1" s="6"/>
      <c r="OV1" s="6"/>
      <c r="OW1" s="6"/>
      <c r="OX1" s="6"/>
      <c r="OY1" s="6"/>
      <c r="OZ1" s="6"/>
      <c r="PA1" s="6"/>
      <c r="PB1" s="6"/>
      <c r="PC1" s="6"/>
      <c r="PD1" s="6"/>
      <c r="PE1" s="6"/>
      <c r="PF1" s="6"/>
      <c r="PG1" s="6"/>
      <c r="PH1" s="6"/>
      <c r="PI1" s="6"/>
      <c r="PJ1" s="6"/>
      <c r="PK1" s="6"/>
      <c r="PL1" s="6"/>
      <c r="PM1" s="6"/>
      <c r="PN1" s="6"/>
      <c r="PO1" s="6"/>
      <c r="PP1" s="6"/>
      <c r="PQ1" s="6"/>
      <c r="PR1" s="6"/>
      <c r="PS1" s="6"/>
      <c r="PT1" s="6"/>
      <c r="PU1" s="6"/>
      <c r="PV1" s="6"/>
      <c r="PW1" s="6"/>
      <c r="PX1" s="6"/>
      <c r="PY1" s="6"/>
      <c r="PZ1" s="6"/>
      <c r="QA1" s="6"/>
      <c r="QB1" s="6"/>
      <c r="QC1" s="6"/>
      <c r="QD1" s="6"/>
      <c r="QE1" s="6"/>
      <c r="QF1" s="6"/>
      <c r="QG1" s="6"/>
      <c r="QH1" s="6"/>
      <c r="QI1" s="6"/>
      <c r="QJ1" s="6"/>
      <c r="QK1" s="6"/>
      <c r="QL1" s="6"/>
      <c r="QM1" s="6"/>
      <c r="QN1" s="6"/>
      <c r="QO1" s="6"/>
      <c r="QP1" s="6"/>
      <c r="QQ1" s="6"/>
      <c r="QR1" s="6"/>
      <c r="QS1" s="6"/>
      <c r="QT1" s="6"/>
      <c r="QU1" s="6"/>
      <c r="QV1" s="6"/>
      <c r="QW1" s="6"/>
      <c r="QX1" s="6"/>
      <c r="QY1" s="6"/>
      <c r="QZ1" s="6"/>
      <c r="RA1" s="6"/>
      <c r="RB1" s="6"/>
      <c r="RC1" s="6"/>
      <c r="RD1" s="6"/>
      <c r="RE1" s="6"/>
      <c r="RF1" s="6"/>
      <c r="RG1" s="6"/>
      <c r="RH1" s="6"/>
      <c r="RI1" s="6"/>
      <c r="RJ1" s="6"/>
      <c r="RK1" s="6"/>
      <c r="RL1" s="6"/>
      <c r="RM1" s="6"/>
      <c r="RN1" s="6"/>
      <c r="RO1" s="6"/>
      <c r="RP1" s="6"/>
      <c r="RQ1" s="6"/>
      <c r="RR1" s="6"/>
      <c r="RS1" s="6"/>
      <c r="RT1" s="6"/>
      <c r="RU1" s="6"/>
      <c r="RV1" s="6"/>
      <c r="RW1" s="6"/>
      <c r="RX1" s="6"/>
      <c r="RY1" s="6"/>
      <c r="RZ1" s="6"/>
      <c r="SA1" s="6"/>
      <c r="SB1" s="6"/>
      <c r="SC1" s="6"/>
      <c r="SD1" s="6"/>
      <c r="SE1" s="6"/>
      <c r="SF1" s="6"/>
      <c r="SG1" s="6"/>
      <c r="SH1" s="6"/>
      <c r="SI1" s="6"/>
      <c r="SJ1" s="6"/>
      <c r="SK1" s="6"/>
      <c r="SL1" s="6"/>
      <c r="SM1" s="6"/>
      <c r="SN1" s="6"/>
      <c r="SO1" s="6"/>
      <c r="SP1" s="6"/>
      <c r="SQ1" s="6"/>
      <c r="SR1" s="6"/>
      <c r="SS1" s="6"/>
      <c r="ST1" s="6"/>
      <c r="SU1" s="6"/>
      <c r="SV1" s="6"/>
      <c r="SW1" s="6"/>
      <c r="SX1" s="6"/>
      <c r="SY1" s="6"/>
      <c r="SZ1" s="6"/>
      <c r="TA1" s="6"/>
      <c r="TB1" s="6"/>
      <c r="TC1" s="6"/>
      <c r="TD1" s="6"/>
      <c r="TE1" s="6"/>
      <c r="TF1" s="6"/>
      <c r="TG1" s="6"/>
      <c r="TH1" s="6"/>
      <c r="TI1" s="6"/>
      <c r="TJ1" s="6"/>
      <c r="TK1" s="6"/>
      <c r="TL1" s="6"/>
      <c r="TM1" s="6"/>
      <c r="TN1" s="6"/>
      <c r="TO1" s="6"/>
      <c r="TP1" s="6"/>
      <c r="TQ1" s="6"/>
      <c r="TR1" s="6"/>
      <c r="TS1" s="6"/>
      <c r="TT1" s="6"/>
      <c r="TU1" s="6"/>
      <c r="TV1" s="6"/>
      <c r="TW1" s="6"/>
      <c r="TX1" s="6"/>
      <c r="TY1" s="6"/>
      <c r="TZ1" s="6"/>
      <c r="UA1" s="6"/>
      <c r="UB1" s="6"/>
      <c r="UC1" s="6"/>
      <c r="UD1" s="6"/>
      <c r="UE1" s="6"/>
      <c r="UF1" s="6"/>
      <c r="UG1" s="6"/>
      <c r="UH1" s="6"/>
      <c r="UI1" s="6"/>
      <c r="UJ1" s="6"/>
      <c r="UK1" s="6"/>
      <c r="UL1" s="6"/>
      <c r="UM1" s="6"/>
      <c r="UN1" s="6"/>
      <c r="UO1" s="6"/>
      <c r="UP1" s="6"/>
      <c r="UQ1" s="6"/>
      <c r="UR1" s="6"/>
      <c r="US1" s="6"/>
      <c r="UT1" s="6"/>
      <c r="UU1" s="6"/>
      <c r="UV1" s="6"/>
      <c r="UW1" s="6"/>
      <c r="UX1" s="6"/>
      <c r="UY1" s="6"/>
      <c r="UZ1" s="6"/>
      <c r="VA1" s="6"/>
      <c r="VB1" s="6"/>
      <c r="VC1" s="6"/>
      <c r="VD1" s="6"/>
      <c r="VE1" s="6"/>
      <c r="VF1" s="6"/>
      <c r="VG1" s="6"/>
      <c r="VH1" s="6"/>
      <c r="VI1" s="6"/>
      <c r="VJ1" s="6"/>
      <c r="VK1" s="6"/>
      <c r="VL1" s="6"/>
      <c r="VM1" s="6"/>
      <c r="VN1" s="6"/>
      <c r="VO1" s="6"/>
      <c r="VP1" s="6"/>
      <c r="VQ1" s="6"/>
      <c r="VR1" s="6"/>
      <c r="VS1" s="6"/>
      <c r="VT1" s="6"/>
      <c r="VU1" s="6"/>
      <c r="VV1" s="6"/>
      <c r="VW1" s="6"/>
      <c r="VX1" s="6"/>
      <c r="VY1" s="6"/>
      <c r="VZ1" s="6"/>
      <c r="WA1" s="6"/>
      <c r="WB1" s="6"/>
      <c r="WC1" s="6"/>
      <c r="WD1" s="6"/>
      <c r="WE1" s="6"/>
      <c r="WF1" s="6"/>
      <c r="WG1" s="6"/>
      <c r="WH1" s="6"/>
      <c r="WI1" s="6"/>
      <c r="WJ1" s="6"/>
      <c r="WK1" s="6"/>
      <c r="WL1" s="6"/>
      <c r="WM1" s="6"/>
      <c r="WN1" s="6"/>
      <c r="WO1" s="6"/>
      <c r="WP1" s="6"/>
      <c r="WQ1" s="6"/>
      <c r="WR1" s="6"/>
      <c r="WS1" s="6"/>
      <c r="WT1" s="6"/>
      <c r="WU1" s="6"/>
      <c r="WV1" s="6"/>
      <c r="WW1" s="6"/>
      <c r="WX1" s="6"/>
      <c r="WY1" s="6"/>
      <c r="WZ1" s="6"/>
      <c r="XA1" s="6"/>
      <c r="XB1" s="6"/>
      <c r="XC1" s="6"/>
      <c r="XD1" s="6"/>
      <c r="XE1" s="6"/>
      <c r="XF1" s="6"/>
      <c r="XG1" s="6"/>
      <c r="XH1" s="6"/>
      <c r="XI1" s="6"/>
      <c r="XJ1" s="6"/>
      <c r="XK1" s="6"/>
      <c r="XL1" s="6"/>
      <c r="XM1" s="6"/>
      <c r="XN1" s="6"/>
      <c r="XO1" s="6"/>
      <c r="XP1" s="6"/>
      <c r="XQ1" s="6"/>
      <c r="XR1" s="6"/>
      <c r="XS1" s="6"/>
      <c r="XT1" s="6"/>
      <c r="XU1" s="6"/>
      <c r="XV1" s="6"/>
      <c r="XW1" s="6"/>
      <c r="XX1" s="6"/>
      <c r="XY1" s="6"/>
      <c r="XZ1" s="6"/>
      <c r="YA1" s="6"/>
      <c r="YB1" s="6"/>
      <c r="YC1" s="6"/>
      <c r="YD1" s="6"/>
      <c r="YE1" s="6"/>
      <c r="YF1" s="6"/>
      <c r="YG1" s="6"/>
      <c r="YH1" s="6"/>
      <c r="YI1" s="6"/>
      <c r="YJ1" s="6"/>
      <c r="YK1" s="6"/>
      <c r="YL1" s="6"/>
      <c r="YM1" s="6"/>
      <c r="YN1" s="6"/>
      <c r="YO1" s="6"/>
      <c r="YP1" s="6"/>
      <c r="YQ1" s="6"/>
      <c r="YR1" s="6"/>
      <c r="YS1" s="6"/>
      <c r="YT1" s="6"/>
      <c r="YU1" s="6"/>
      <c r="YV1" s="6"/>
      <c r="YW1" s="6"/>
      <c r="YX1" s="6"/>
      <c r="YY1" s="6"/>
      <c r="YZ1" s="6"/>
      <c r="ZA1" s="6"/>
      <c r="ZB1" s="6"/>
      <c r="ZC1" s="6"/>
      <c r="ZD1" s="6"/>
      <c r="ZE1" s="6"/>
      <c r="ZF1" s="6"/>
      <c r="ZG1" s="6"/>
      <c r="ZH1" s="6"/>
      <c r="ZI1" s="6"/>
      <c r="ZJ1" s="6"/>
      <c r="ZK1" s="6"/>
      <c r="ZL1" s="6"/>
      <c r="ZM1" s="6"/>
      <c r="ZN1" s="6"/>
      <c r="ZO1" s="6"/>
      <c r="ZP1" s="6"/>
      <c r="ZQ1" s="6"/>
      <c r="ZR1" s="6"/>
      <c r="ZS1" s="6"/>
      <c r="ZT1" s="6"/>
      <c r="ZU1" s="6"/>
      <c r="ZV1" s="6"/>
      <c r="ZW1" s="6"/>
    </row>
    <row r="2" spans="1:699" x14ac:dyDescent="0.2">
      <c r="A2" s="7" t="s">
        <v>0</v>
      </c>
      <c r="B2" s="8"/>
      <c r="C2" s="8"/>
      <c r="D2" s="8"/>
      <c r="E2" s="8"/>
      <c r="F2" s="9"/>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c r="WR2" s="6"/>
      <c r="WS2" s="6"/>
      <c r="WT2" s="6"/>
      <c r="WU2" s="6"/>
      <c r="WV2" s="6"/>
      <c r="WW2" s="6"/>
      <c r="WX2" s="6"/>
      <c r="WY2" s="6"/>
      <c r="WZ2" s="6"/>
      <c r="XA2" s="6"/>
      <c r="XB2" s="6"/>
      <c r="XC2" s="6"/>
      <c r="XD2" s="6"/>
      <c r="XE2" s="6"/>
      <c r="XF2" s="6"/>
      <c r="XG2" s="6"/>
      <c r="XH2" s="6"/>
      <c r="XI2" s="6"/>
      <c r="XJ2" s="6"/>
      <c r="XK2" s="6"/>
      <c r="XL2" s="6"/>
      <c r="XM2" s="6"/>
      <c r="XN2" s="6"/>
      <c r="XO2" s="6"/>
      <c r="XP2" s="6"/>
      <c r="XQ2" s="6"/>
      <c r="XR2" s="6"/>
      <c r="XS2" s="6"/>
      <c r="XT2" s="6"/>
      <c r="XU2" s="6"/>
      <c r="XV2" s="6"/>
      <c r="XW2" s="6"/>
      <c r="XX2" s="6"/>
      <c r="XY2" s="6"/>
      <c r="XZ2" s="6"/>
      <c r="YA2" s="6"/>
      <c r="YB2" s="6"/>
      <c r="YC2" s="6"/>
      <c r="YD2" s="6"/>
      <c r="YE2" s="6"/>
      <c r="YF2" s="6"/>
      <c r="YG2" s="6"/>
      <c r="YH2" s="6"/>
      <c r="YI2" s="6"/>
      <c r="YJ2" s="6"/>
      <c r="YK2" s="6"/>
      <c r="YL2" s="6"/>
      <c r="YM2" s="6"/>
      <c r="YN2" s="6"/>
      <c r="YO2" s="6"/>
      <c r="YP2" s="6"/>
      <c r="YQ2" s="6"/>
      <c r="YR2" s="6"/>
      <c r="YS2" s="6"/>
      <c r="YT2" s="6"/>
      <c r="YU2" s="6"/>
      <c r="YV2" s="6"/>
      <c r="YW2" s="6"/>
      <c r="YX2" s="6"/>
      <c r="YY2" s="6"/>
      <c r="YZ2" s="6"/>
      <c r="ZA2" s="6"/>
      <c r="ZB2" s="6"/>
      <c r="ZC2" s="6"/>
      <c r="ZD2" s="6"/>
      <c r="ZE2" s="6"/>
      <c r="ZF2" s="6"/>
      <c r="ZG2" s="6"/>
      <c r="ZH2" s="6"/>
      <c r="ZI2" s="6"/>
      <c r="ZJ2" s="6"/>
      <c r="ZK2" s="6"/>
      <c r="ZL2" s="6"/>
      <c r="ZM2" s="6"/>
      <c r="ZN2" s="6"/>
      <c r="ZO2" s="6"/>
      <c r="ZP2" s="6"/>
      <c r="ZQ2" s="6"/>
      <c r="ZR2" s="6"/>
      <c r="ZS2" s="6"/>
      <c r="ZT2" s="6"/>
      <c r="ZU2" s="6"/>
      <c r="ZV2" s="6"/>
      <c r="ZW2" s="6"/>
    </row>
    <row r="3" spans="1:699" x14ac:dyDescent="0.2">
      <c r="A3" s="10">
        <v>1.25</v>
      </c>
      <c r="B3" s="11"/>
      <c r="C3" s="8"/>
      <c r="D3" s="8"/>
      <c r="E3" s="8"/>
      <c r="F3" s="9"/>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row>
    <row r="4" spans="1:699" x14ac:dyDescent="0.2">
      <c r="A4" s="12"/>
      <c r="B4" s="8" t="s">
        <v>1</v>
      </c>
      <c r="C4" s="8"/>
      <c r="D4" s="8"/>
      <c r="E4" s="8"/>
      <c r="F4" s="9"/>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row>
    <row r="5" spans="1:699" ht="15" thickBot="1" x14ac:dyDescent="0.25">
      <c r="A5" s="12"/>
      <c r="B5" s="8"/>
      <c r="C5" s="8"/>
      <c r="D5" s="8"/>
      <c r="E5" s="8"/>
      <c r="F5" s="9"/>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row>
    <row r="6" spans="1:699" ht="43.5" thickBot="1" x14ac:dyDescent="0.25">
      <c r="A6" s="12"/>
      <c r="B6" s="13" t="s">
        <v>2</v>
      </c>
      <c r="C6" s="14" t="s">
        <v>3</v>
      </c>
      <c r="D6" s="14" t="s">
        <v>4</v>
      </c>
      <c r="E6" s="15" t="s">
        <v>5</v>
      </c>
      <c r="F6" s="9"/>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row>
    <row r="7" spans="1:699" x14ac:dyDescent="0.2">
      <c r="A7" s="12"/>
      <c r="B7" s="16" t="s">
        <v>6</v>
      </c>
      <c r="C7" s="17">
        <v>42005</v>
      </c>
      <c r="D7" s="18" t="s">
        <v>7</v>
      </c>
      <c r="E7" s="19">
        <v>100</v>
      </c>
      <c r="F7" s="9"/>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row>
    <row r="8" spans="1:699" x14ac:dyDescent="0.2">
      <c r="A8" s="12"/>
      <c r="B8" s="16" t="s">
        <v>8</v>
      </c>
      <c r="C8" s="17">
        <v>42036</v>
      </c>
      <c r="D8" s="18" t="s">
        <v>7</v>
      </c>
      <c r="E8" s="19">
        <v>250</v>
      </c>
      <c r="F8" s="9"/>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row>
    <row r="9" spans="1:699" x14ac:dyDescent="0.2">
      <c r="A9" s="12"/>
      <c r="B9" s="16" t="s">
        <v>8</v>
      </c>
      <c r="C9" s="17">
        <v>42217</v>
      </c>
      <c r="D9" s="18" t="s">
        <v>9</v>
      </c>
      <c r="E9" s="19">
        <v>60</v>
      </c>
      <c r="F9" s="9"/>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row>
    <row r="10" spans="1:699" x14ac:dyDescent="0.2">
      <c r="A10" s="12"/>
      <c r="B10" s="16" t="s">
        <v>8</v>
      </c>
      <c r="C10" s="17">
        <v>42891</v>
      </c>
      <c r="D10" s="18" t="s">
        <v>10</v>
      </c>
      <c r="E10" s="19">
        <v>50</v>
      </c>
      <c r="F10" s="9"/>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row>
    <row r="11" spans="1:699" x14ac:dyDescent="0.2">
      <c r="A11" s="12"/>
      <c r="B11" s="16" t="s">
        <v>11</v>
      </c>
      <c r="C11" s="17">
        <v>42125</v>
      </c>
      <c r="D11" s="18" t="s">
        <v>7</v>
      </c>
      <c r="E11" s="19">
        <v>150</v>
      </c>
      <c r="F11" s="9"/>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row>
    <row r="12" spans="1:699" x14ac:dyDescent="0.2">
      <c r="A12" s="12"/>
      <c r="B12" s="16" t="s">
        <v>11</v>
      </c>
      <c r="C12" s="17">
        <v>42278</v>
      </c>
      <c r="D12" s="18" t="s">
        <v>12</v>
      </c>
      <c r="E12" s="19">
        <v>-150</v>
      </c>
      <c r="F12" s="9"/>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row>
    <row r="13" spans="1:699" x14ac:dyDescent="0.2">
      <c r="A13" s="12"/>
      <c r="B13" s="16" t="s">
        <v>13</v>
      </c>
      <c r="C13" s="17">
        <v>41883</v>
      </c>
      <c r="D13" s="18" t="s">
        <v>7</v>
      </c>
      <c r="E13" s="19">
        <v>175</v>
      </c>
      <c r="F13" s="9"/>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row>
    <row r="14" spans="1:699" x14ac:dyDescent="0.2">
      <c r="A14" s="12"/>
      <c r="B14" s="16" t="s">
        <v>13</v>
      </c>
      <c r="C14" s="17">
        <v>42248</v>
      </c>
      <c r="D14" s="18" t="s">
        <v>14</v>
      </c>
      <c r="E14" s="19">
        <v>200</v>
      </c>
      <c r="F14" s="9"/>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row>
    <row r="15" spans="1:699" x14ac:dyDescent="0.2">
      <c r="A15" s="12"/>
      <c r="B15" s="16" t="s">
        <v>13</v>
      </c>
      <c r="C15" s="17">
        <v>42430</v>
      </c>
      <c r="D15" s="18" t="s">
        <v>9</v>
      </c>
      <c r="E15" s="19">
        <v>80</v>
      </c>
      <c r="F15" s="9"/>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row>
    <row r="16" spans="1:699" ht="15" thickBot="1" x14ac:dyDescent="0.25">
      <c r="A16" s="12"/>
      <c r="B16" s="20" t="s">
        <v>15</v>
      </c>
      <c r="C16" s="21">
        <v>42461</v>
      </c>
      <c r="D16" s="22" t="s">
        <v>7</v>
      </c>
      <c r="E16" s="23">
        <v>75</v>
      </c>
      <c r="F16" s="9"/>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row>
    <row r="17" spans="1:699" x14ac:dyDescent="0.2">
      <c r="A17" s="12"/>
      <c r="B17" s="18"/>
      <c r="C17" s="17"/>
      <c r="D17" s="18"/>
      <c r="E17" s="18"/>
      <c r="F17" s="9"/>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row>
    <row r="18" spans="1:699" x14ac:dyDescent="0.2">
      <c r="A18" s="12"/>
      <c r="B18" s="24" t="s">
        <v>16</v>
      </c>
      <c r="C18" s="24"/>
      <c r="D18" s="24"/>
      <c r="E18" s="24"/>
      <c r="F18" s="2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row>
    <row r="19" spans="1:699" x14ac:dyDescent="0.2">
      <c r="A19" s="12"/>
      <c r="B19" s="26" t="s">
        <v>17</v>
      </c>
      <c r="C19" s="27"/>
      <c r="D19" s="27"/>
      <c r="E19" s="27"/>
      <c r="F19" s="28"/>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row>
    <row r="20" spans="1:699" x14ac:dyDescent="0.2">
      <c r="A20" s="12"/>
      <c r="B20" s="8" t="s">
        <v>18</v>
      </c>
      <c r="C20" s="17"/>
      <c r="D20" s="18"/>
      <c r="E20" s="18"/>
      <c r="F20" s="9"/>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row>
    <row r="21" spans="1:699" x14ac:dyDescent="0.2">
      <c r="A21" s="12"/>
      <c r="B21" s="8"/>
      <c r="C21" s="8"/>
      <c r="D21" s="8"/>
      <c r="E21" s="8"/>
      <c r="F21" s="9"/>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row>
    <row r="22" spans="1:699" x14ac:dyDescent="0.2">
      <c r="A22" s="10">
        <v>0.5</v>
      </c>
      <c r="B22" s="26" t="s">
        <v>19</v>
      </c>
      <c r="C22" s="8"/>
      <c r="D22" s="8"/>
      <c r="E22" s="8"/>
      <c r="F22" s="9"/>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row>
    <row r="23" spans="1:699" x14ac:dyDescent="0.2">
      <c r="A23" s="12"/>
      <c r="B23" s="26" t="s">
        <v>20</v>
      </c>
      <c r="C23" s="8"/>
      <c r="D23" s="8"/>
      <c r="E23" s="8"/>
      <c r="F23" s="9"/>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row>
    <row r="24" spans="1:699" x14ac:dyDescent="0.2">
      <c r="A24" s="12"/>
      <c r="B24" s="8"/>
      <c r="C24" s="8"/>
      <c r="D24" s="8"/>
      <c r="E24" s="8"/>
      <c r="F24" s="9"/>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row>
    <row r="25" spans="1:699" x14ac:dyDescent="0.2">
      <c r="A25" s="10">
        <v>0.75</v>
      </c>
      <c r="B25" s="26" t="s">
        <v>21</v>
      </c>
      <c r="C25" s="8"/>
      <c r="D25" s="8"/>
      <c r="E25" s="8"/>
      <c r="F25" s="9"/>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row>
    <row r="26" spans="1:699" x14ac:dyDescent="0.2">
      <c r="A26" s="12"/>
      <c r="B26" s="8" t="s">
        <v>22</v>
      </c>
      <c r="C26" s="8"/>
      <c r="D26" s="8"/>
      <c r="E26" s="8"/>
      <c r="F26" s="9"/>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row>
    <row r="27" spans="1:699" ht="15" thickBot="1" x14ac:dyDescent="0.25">
      <c r="A27" s="29"/>
      <c r="B27" s="30"/>
      <c r="C27" s="30"/>
      <c r="D27" s="30"/>
      <c r="E27" s="30"/>
      <c r="F27" s="31"/>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row>
    <row r="28" spans="1:699" x14ac:dyDescent="0.2">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row>
    <row r="29" spans="1:699" x14ac:dyDescent="0.2">
      <c r="A29" s="5"/>
      <c r="B29" s="5" t="s">
        <v>19</v>
      </c>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row>
    <row r="30" spans="1:699" x14ac:dyDescent="0.2">
      <c r="A30" s="5"/>
      <c r="B30" s="5">
        <f>E7+E8+E9+E11+E14</f>
        <v>760</v>
      </c>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row>
    <row r="31" spans="1:699" x14ac:dyDescent="0.2">
      <c r="A31" s="5"/>
      <c r="B31" s="5" t="s">
        <v>21</v>
      </c>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row>
    <row r="32" spans="1:699" x14ac:dyDescent="0.2">
      <c r="A32" s="5"/>
      <c r="B32" s="5" t="s">
        <v>23</v>
      </c>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row>
    <row r="33" spans="1:699" x14ac:dyDescent="0.2">
      <c r="A33" s="5"/>
      <c r="B33" s="5">
        <f>+E7+E8+E9*6/12+E10+E11*5/12+E14+E15*6/12</f>
        <v>732.5</v>
      </c>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row>
    <row r="34" spans="1:699" x14ac:dyDescent="0.2">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row>
    <row r="35" spans="1:699" x14ac:dyDescent="0.2">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row>
    <row r="36" spans="1:699" x14ac:dyDescent="0.2">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row>
    <row r="37" spans="1:699" x14ac:dyDescent="0.2">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row>
    <row r="38" spans="1:699" x14ac:dyDescent="0.2">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row>
    <row r="39" spans="1:699" x14ac:dyDescent="0.2">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row>
    <row r="40" spans="1:699" x14ac:dyDescent="0.2">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row>
    <row r="41" spans="1:699" x14ac:dyDescent="0.2">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row>
    <row r="42" spans="1:699" x14ac:dyDescent="0.2">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row>
    <row r="43" spans="1:699" x14ac:dyDescent="0.2">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row>
    <row r="44" spans="1:699" x14ac:dyDescent="0.2">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row>
    <row r="45" spans="1:699"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row>
    <row r="46" spans="1:699" x14ac:dyDescent="0.2">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row>
    <row r="47" spans="1:699" x14ac:dyDescent="0.2">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row>
    <row r="48" spans="1:699" x14ac:dyDescent="0.2">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row>
    <row r="49" spans="1:699" x14ac:dyDescent="0.2">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row>
    <row r="50" spans="1:699" x14ac:dyDescent="0.2">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row>
    <row r="51" spans="1:699" x14ac:dyDescent="0.2">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row>
    <row r="52" spans="1:699" x14ac:dyDescent="0.2">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row>
    <row r="53" spans="1:699" x14ac:dyDescent="0.2">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row>
    <row r="54" spans="1:699" x14ac:dyDescent="0.2">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row>
    <row r="55" spans="1:699" x14ac:dyDescent="0.2">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row>
    <row r="56" spans="1:699"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row>
    <row r="57" spans="1:699"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row>
    <row r="58" spans="1:699"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row>
    <row r="59" spans="1:699"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row>
    <row r="60" spans="1:699"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row>
    <row r="61" spans="1:699" x14ac:dyDescent="0.2">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row>
    <row r="62" spans="1:699"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row>
    <row r="63" spans="1:699"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row>
    <row r="64" spans="1:699"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row>
    <row r="65" spans="1:699"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row>
    <row r="66" spans="1:699"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row>
    <row r="67" spans="1:699"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row>
    <row r="68" spans="1:699"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row>
    <row r="69" spans="1:699"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row>
    <row r="70" spans="1:699"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row>
    <row r="71" spans="1:699"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row>
    <row r="72" spans="1:699"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row>
    <row r="73" spans="1:699"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row>
    <row r="74" spans="1:699"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row>
    <row r="75" spans="1:699"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row>
    <row r="76" spans="1:699"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row>
    <row r="77" spans="1:699"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row>
    <row r="78" spans="1:699"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row>
    <row r="79" spans="1:699"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row>
    <row r="80" spans="1:699"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row>
    <row r="81" spans="1:699"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row>
    <row r="82" spans="1:699"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row>
    <row r="83" spans="1:699"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row>
    <row r="84" spans="1:699"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row>
    <row r="85" spans="1:699"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row>
    <row r="86" spans="1:699"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row>
    <row r="87" spans="1:699"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row>
    <row r="88" spans="1:699"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row>
    <row r="89" spans="1:699"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row>
    <row r="90" spans="1:699"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row>
    <row r="91" spans="1:699"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row>
    <row r="92" spans="1:699"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row>
    <row r="93" spans="1:699"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row>
    <row r="94" spans="1:699"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row>
    <row r="95" spans="1:699"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row>
    <row r="96" spans="1:699"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row>
    <row r="97" spans="1:699"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row>
    <row r="98" spans="1:699"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row>
    <row r="99" spans="1:699"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row>
    <row r="100" spans="1:699"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row>
    <row r="101" spans="1:699"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row>
    <row r="102" spans="1:699"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row>
    <row r="103" spans="1:699"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row>
    <row r="104" spans="1:699"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row>
    <row r="105" spans="1:699"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row>
    <row r="106" spans="1:699"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row>
    <row r="107" spans="1:699"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row>
    <row r="108" spans="1:699"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row>
    <row r="109" spans="1:699"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row>
    <row r="110" spans="1:699"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row>
    <row r="111" spans="1:699"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row>
    <row r="112" spans="1:699"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row>
    <row r="113" spans="1:699"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row>
    <row r="114" spans="1:699"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row>
    <row r="115" spans="1:699"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row>
    <row r="116" spans="1:699"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row>
    <row r="117" spans="1:699"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row>
    <row r="118" spans="1:699"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row>
    <row r="119" spans="1:699"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row>
    <row r="120" spans="1:699"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row>
    <row r="121" spans="1:699"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row>
    <row r="122" spans="1:699"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row>
    <row r="123" spans="1:699"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row>
    <row r="124" spans="1:699"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row>
    <row r="125" spans="1:699"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row>
    <row r="126" spans="1:699"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row>
    <row r="127" spans="1:699"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row>
    <row r="128" spans="1:699"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row>
    <row r="129" spans="1:699"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row>
    <row r="130" spans="1:699"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row>
    <row r="131" spans="1:699"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row>
    <row r="132" spans="1:699"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row>
    <row r="133" spans="1:699"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row>
    <row r="134" spans="1:699"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row>
    <row r="135" spans="1:699"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row>
    <row r="136" spans="1:699"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row>
    <row r="137" spans="1:699"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row>
    <row r="138" spans="1:699"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row>
    <row r="139" spans="1:699"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row>
    <row r="140" spans="1:699"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row>
    <row r="141" spans="1:699"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row>
    <row r="142" spans="1:699"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row>
    <row r="143" spans="1:699"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row>
    <row r="144" spans="1:699"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row>
    <row r="145" spans="1:699"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row>
    <row r="146" spans="1:699"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row>
    <row r="147" spans="1:699"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row>
    <row r="148" spans="1:699"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row>
    <row r="149" spans="1:699"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row>
    <row r="150" spans="1:699"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row>
    <row r="151" spans="1:699"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row>
    <row r="152" spans="1:699"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row>
    <row r="153" spans="1:699"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row>
    <row r="154" spans="1:699"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row>
    <row r="155" spans="1:699"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row>
    <row r="156" spans="1:699"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row>
    <row r="157" spans="1:699"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row>
    <row r="158" spans="1:699"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row>
    <row r="159" spans="1:699"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row>
    <row r="160" spans="1:699"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row>
    <row r="161" spans="1:699"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row>
    <row r="162" spans="1:699"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row>
    <row r="163" spans="1:699"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row>
    <row r="164" spans="1:699"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row>
    <row r="165" spans="1:699"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row>
    <row r="166" spans="1:699"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row>
    <row r="167" spans="1:699"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row>
    <row r="168" spans="1:699"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row>
    <row r="169" spans="1:699"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row>
    <row r="170" spans="1:699"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row>
    <row r="171" spans="1:699"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row>
    <row r="172" spans="1:699"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row>
    <row r="173" spans="1:699"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row>
    <row r="174" spans="1:699"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row>
    <row r="175" spans="1:699"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row>
    <row r="176" spans="1:699"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row>
    <row r="177" spans="1:699"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row>
    <row r="178" spans="1:699"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row>
    <row r="179" spans="1:699"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row>
    <row r="180" spans="1:699"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row>
    <row r="181" spans="1:699"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row>
    <row r="182" spans="1:699"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row>
    <row r="183" spans="1:699"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row>
    <row r="184" spans="1:699"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row>
    <row r="185" spans="1:699"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row>
    <row r="186" spans="1:699"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row>
    <row r="187" spans="1:699"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row>
    <row r="188" spans="1:699"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row>
    <row r="189" spans="1:699"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row>
    <row r="190" spans="1:699"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row>
    <row r="191" spans="1:699"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row>
    <row r="192" spans="1:699"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row>
    <row r="193" spans="1:699"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row>
    <row r="194" spans="1:699"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row>
    <row r="195" spans="1:699"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row>
    <row r="196" spans="1:699" x14ac:dyDescent="0.2">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row>
    <row r="197" spans="1:699" x14ac:dyDescent="0.2">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row>
    <row r="198" spans="1:699" x14ac:dyDescent="0.2">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row>
    <row r="199" spans="1:699" x14ac:dyDescent="0.2">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row>
    <row r="200" spans="1:699" x14ac:dyDescent="0.2">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44"/>
  <sheetViews>
    <sheetView workbookViewId="0"/>
  </sheetViews>
  <sheetFormatPr defaultColWidth="9" defaultRowHeight="15" x14ac:dyDescent="0.25"/>
  <cols>
    <col min="1" max="9" width="15.125" style="151" customWidth="1"/>
    <col min="10" max="16384" width="9" style="151"/>
  </cols>
  <sheetData>
    <row r="1" spans="1:21" ht="15.75" thickBot="1" x14ac:dyDescent="0.3">
      <c r="A1" s="1">
        <v>4</v>
      </c>
      <c r="B1" s="2"/>
      <c r="C1" s="152"/>
      <c r="D1" s="153"/>
      <c r="E1" s="153"/>
      <c r="F1" s="153"/>
      <c r="G1" s="153"/>
      <c r="H1" s="153"/>
      <c r="I1" s="154"/>
      <c r="J1" s="36"/>
      <c r="K1" s="36"/>
      <c r="L1" s="36"/>
      <c r="M1" s="36"/>
      <c r="N1" s="36"/>
      <c r="O1" s="36"/>
      <c r="P1" s="36"/>
      <c r="Q1" s="36"/>
      <c r="R1" s="36"/>
      <c r="S1" s="36"/>
      <c r="T1" s="36"/>
      <c r="U1" s="36"/>
    </row>
    <row r="2" spans="1:21" x14ac:dyDescent="0.25">
      <c r="A2" s="155" t="s">
        <v>0</v>
      </c>
      <c r="B2" s="156"/>
      <c r="C2" s="156"/>
      <c r="D2" s="156"/>
      <c r="E2" s="156"/>
      <c r="F2" s="156"/>
      <c r="G2" s="156"/>
      <c r="H2" s="156"/>
      <c r="I2" s="157"/>
      <c r="J2" s="36"/>
      <c r="K2" s="36"/>
      <c r="L2" s="36"/>
      <c r="M2" s="36"/>
      <c r="N2" s="36"/>
      <c r="O2" s="36"/>
      <c r="P2" s="36"/>
      <c r="Q2" s="36"/>
      <c r="R2" s="36"/>
      <c r="S2" s="36"/>
      <c r="T2" s="36"/>
      <c r="U2" s="36"/>
    </row>
    <row r="3" spans="1:21" x14ac:dyDescent="0.25">
      <c r="A3" s="158">
        <v>2.75</v>
      </c>
      <c r="B3" s="159"/>
      <c r="C3" s="156"/>
      <c r="D3" s="156"/>
      <c r="E3" s="156"/>
      <c r="F3" s="156"/>
      <c r="G3" s="156"/>
      <c r="H3" s="156"/>
      <c r="I3" s="157"/>
      <c r="J3" s="36"/>
      <c r="K3" s="36"/>
      <c r="L3" s="36"/>
      <c r="M3" s="36"/>
      <c r="N3" s="36"/>
      <c r="O3" s="36"/>
      <c r="P3" s="36"/>
      <c r="Q3" s="36"/>
      <c r="R3" s="36"/>
      <c r="S3" s="36"/>
      <c r="T3" s="36"/>
      <c r="U3" s="36"/>
    </row>
    <row r="4" spans="1:21" x14ac:dyDescent="0.25">
      <c r="A4" s="158"/>
      <c r="B4" s="156" t="s">
        <v>134</v>
      </c>
      <c r="C4" s="156"/>
      <c r="D4" s="156"/>
      <c r="E4" s="156"/>
      <c r="F4" s="156"/>
      <c r="G4" s="156"/>
      <c r="H4" s="156"/>
      <c r="I4" s="157"/>
      <c r="J4" s="36"/>
      <c r="K4" s="36"/>
      <c r="L4" s="36"/>
      <c r="M4" s="36"/>
      <c r="N4" s="36"/>
      <c r="O4" s="36"/>
      <c r="P4" s="36"/>
      <c r="Q4" s="36"/>
      <c r="R4" s="36"/>
      <c r="S4" s="36"/>
      <c r="T4" s="36"/>
      <c r="U4" s="36"/>
    </row>
    <row r="5" spans="1:21" ht="15.75" thickBot="1" x14ac:dyDescent="0.3">
      <c r="A5" s="158"/>
      <c r="B5" s="156"/>
      <c r="C5" s="156"/>
      <c r="D5" s="156"/>
      <c r="E5" s="156"/>
      <c r="F5" s="156"/>
      <c r="G5" s="156"/>
      <c r="H5" s="156"/>
      <c r="I5" s="157"/>
      <c r="J5" s="36"/>
      <c r="K5" s="36"/>
      <c r="L5" s="36"/>
      <c r="M5" s="36"/>
      <c r="N5" s="36"/>
      <c r="O5" s="36"/>
      <c r="P5" s="36"/>
      <c r="Q5" s="36"/>
      <c r="R5" s="36"/>
      <c r="S5" s="36"/>
      <c r="T5" s="36"/>
      <c r="U5" s="36"/>
    </row>
    <row r="6" spans="1:21" x14ac:dyDescent="0.25">
      <c r="A6" s="158"/>
      <c r="B6" s="160" t="s">
        <v>135</v>
      </c>
      <c r="C6" s="161" t="s">
        <v>136</v>
      </c>
      <c r="D6" s="1186" t="s">
        <v>137</v>
      </c>
      <c r="E6" s="1186"/>
      <c r="F6" s="1186"/>
      <c r="G6" s="1187"/>
      <c r="H6" s="162"/>
      <c r="I6" s="157"/>
      <c r="J6" s="36"/>
      <c r="K6" s="36"/>
      <c r="L6" s="36"/>
      <c r="M6" s="36"/>
      <c r="N6" s="36"/>
      <c r="O6" s="36"/>
      <c r="P6" s="36" t="s">
        <v>161</v>
      </c>
      <c r="Q6" s="36" t="s">
        <v>162</v>
      </c>
      <c r="R6" s="36" t="s">
        <v>163</v>
      </c>
      <c r="S6" s="36" t="s">
        <v>164</v>
      </c>
      <c r="T6" s="36"/>
      <c r="U6" s="36"/>
    </row>
    <row r="7" spans="1:21" ht="15.75" thickBot="1" x14ac:dyDescent="0.3">
      <c r="A7" s="158"/>
      <c r="B7" s="163" t="s">
        <v>83</v>
      </c>
      <c r="C7" s="164" t="s">
        <v>138</v>
      </c>
      <c r="D7" s="164">
        <v>12</v>
      </c>
      <c r="E7" s="165">
        <v>24</v>
      </c>
      <c r="F7" s="165">
        <v>36</v>
      </c>
      <c r="G7" s="166">
        <v>48</v>
      </c>
      <c r="H7" s="167"/>
      <c r="I7" s="157"/>
      <c r="J7" s="36"/>
      <c r="K7" s="36"/>
      <c r="L7" s="36"/>
      <c r="M7" s="36"/>
      <c r="N7" s="36"/>
      <c r="O7" s="36"/>
      <c r="P7" s="36"/>
      <c r="Q7" s="36"/>
      <c r="R7" s="36"/>
      <c r="S7" s="36"/>
      <c r="T7" s="36"/>
      <c r="U7" s="36"/>
    </row>
    <row r="8" spans="1:21" x14ac:dyDescent="0.25">
      <c r="A8" s="158"/>
      <c r="B8" s="160">
        <v>2014</v>
      </c>
      <c r="C8" s="168">
        <v>898</v>
      </c>
      <c r="D8" s="169">
        <v>363572</v>
      </c>
      <c r="E8" s="169">
        <v>490822</v>
      </c>
      <c r="F8" s="169">
        <v>564445</v>
      </c>
      <c r="G8" s="170">
        <v>620890</v>
      </c>
      <c r="H8" s="171"/>
      <c r="I8" s="157"/>
      <c r="J8" s="36"/>
      <c r="K8" s="142">
        <f>E8/D8</f>
        <v>1.3499994499026329</v>
      </c>
      <c r="L8" s="142">
        <f>F8/E8</f>
        <v>1.149999388780454</v>
      </c>
      <c r="M8" s="142">
        <f>G8/F8</f>
        <v>1.1000008858258998</v>
      </c>
      <c r="N8" s="142"/>
      <c r="O8" s="36"/>
      <c r="P8" s="141">
        <f>G8</f>
        <v>620890</v>
      </c>
      <c r="Q8" s="142">
        <f>N13</f>
        <v>1</v>
      </c>
      <c r="R8" s="36">
        <f>P8*Q8</f>
        <v>620890</v>
      </c>
      <c r="S8" s="36">
        <f>R8/C8</f>
        <v>691.41425389755011</v>
      </c>
      <c r="T8" s="36"/>
      <c r="U8" s="36"/>
    </row>
    <row r="9" spans="1:21" x14ac:dyDescent="0.25">
      <c r="A9" s="158"/>
      <c r="B9" s="172">
        <v>2015</v>
      </c>
      <c r="C9" s="173">
        <v>938</v>
      </c>
      <c r="D9" s="174">
        <v>387362</v>
      </c>
      <c r="E9" s="174">
        <v>522939</v>
      </c>
      <c r="F9" s="174">
        <v>601380</v>
      </c>
      <c r="G9" s="175"/>
      <c r="H9" s="171"/>
      <c r="I9" s="157"/>
      <c r="J9" s="36"/>
      <c r="K9" s="142">
        <f t="shared" ref="K9:L10" si="0">E9/D9</f>
        <v>1.3500007744693594</v>
      </c>
      <c r="L9" s="142">
        <f t="shared" si="0"/>
        <v>1.1500002868403389</v>
      </c>
      <c r="M9" s="142"/>
      <c r="N9" s="142"/>
      <c r="O9" s="36"/>
      <c r="P9" s="141">
        <f>F9</f>
        <v>601380</v>
      </c>
      <c r="Q9" s="142">
        <f>M13</f>
        <v>1.1000008858258998</v>
      </c>
      <c r="R9" s="36">
        <f t="shared" ref="R9:R11" si="1">P9*Q9</f>
        <v>661518.53271797963</v>
      </c>
      <c r="S9" s="36">
        <f t="shared" ref="S9:S11" si="2">R9/C9</f>
        <v>705.24363829208914</v>
      </c>
      <c r="T9" s="36"/>
      <c r="U9" s="36"/>
    </row>
    <row r="10" spans="1:21" x14ac:dyDescent="0.25">
      <c r="A10" s="158"/>
      <c r="B10" s="172">
        <v>2016</v>
      </c>
      <c r="C10" s="173">
        <v>980</v>
      </c>
      <c r="D10" s="174">
        <v>412801</v>
      </c>
      <c r="E10" s="174">
        <v>557281</v>
      </c>
      <c r="F10" s="174"/>
      <c r="G10" s="175"/>
      <c r="H10" s="171"/>
      <c r="I10" s="157"/>
      <c r="J10" s="36"/>
      <c r="K10" s="142">
        <f t="shared" si="0"/>
        <v>1.3499991521338368</v>
      </c>
      <c r="L10" s="142"/>
      <c r="M10" s="142"/>
      <c r="N10" s="142"/>
      <c r="O10" s="36"/>
      <c r="P10" s="141">
        <f>E10</f>
        <v>557281</v>
      </c>
      <c r="Q10" s="142">
        <f>L13</f>
        <v>1.2650008402910771</v>
      </c>
      <c r="R10" s="36">
        <f t="shared" si="1"/>
        <v>704960.93327825167</v>
      </c>
      <c r="S10" s="36">
        <f t="shared" si="2"/>
        <v>719.34789110025679</v>
      </c>
      <c r="T10" s="36"/>
      <c r="U10" s="36"/>
    </row>
    <row r="11" spans="1:21" ht="15.75" thickBot="1" x14ac:dyDescent="0.3">
      <c r="A11" s="158"/>
      <c r="B11" s="163">
        <v>2017</v>
      </c>
      <c r="C11" s="176">
        <v>1024</v>
      </c>
      <c r="D11" s="177">
        <v>439961</v>
      </c>
      <c r="E11" s="177"/>
      <c r="F11" s="177"/>
      <c r="G11" s="178"/>
      <c r="H11" s="171"/>
      <c r="I11" s="157"/>
      <c r="J11" s="36"/>
      <c r="K11" s="142"/>
      <c r="L11" s="142"/>
      <c r="M11" s="142"/>
      <c r="N11" s="142"/>
      <c r="O11" s="36"/>
      <c r="P11" s="141">
        <f>D11</f>
        <v>439961</v>
      </c>
      <c r="Q11" s="142">
        <f>K13</f>
        <v>1.7077508714860705</v>
      </c>
      <c r="R11" s="36">
        <f t="shared" si="1"/>
        <v>751343.78116988309</v>
      </c>
      <c r="S11" s="36">
        <f t="shared" si="2"/>
        <v>733.73416129871396</v>
      </c>
      <c r="T11" s="36"/>
      <c r="U11" s="36"/>
    </row>
    <row r="12" spans="1:21" x14ac:dyDescent="0.25">
      <c r="A12" s="158"/>
      <c r="B12" s="179"/>
      <c r="C12" s="173"/>
      <c r="D12" s="171"/>
      <c r="E12" s="171"/>
      <c r="F12" s="171"/>
      <c r="G12" s="171"/>
      <c r="H12" s="171"/>
      <c r="I12" s="157"/>
      <c r="J12" s="36"/>
      <c r="K12" s="142">
        <f>AVERAGE(K8:K10)</f>
        <v>1.3499997921686095</v>
      </c>
      <c r="L12" s="142">
        <f>AVERAGE(L8:L10)</f>
        <v>1.1499998378103964</v>
      </c>
      <c r="M12" s="142">
        <f>AVERAGE(M8:M10)</f>
        <v>1.1000008858258998</v>
      </c>
      <c r="N12" s="142"/>
      <c r="O12" s="36"/>
      <c r="P12" s="36"/>
      <c r="Q12" s="36"/>
      <c r="R12" s="36"/>
      <c r="S12" s="36"/>
      <c r="T12" s="36"/>
      <c r="U12" s="36"/>
    </row>
    <row r="13" spans="1:21" x14ac:dyDescent="0.25">
      <c r="A13" s="180"/>
      <c r="B13" s="181" t="s">
        <v>139</v>
      </c>
      <c r="C13" s="173"/>
      <c r="D13" s="182"/>
      <c r="E13" s="171"/>
      <c r="F13" s="171"/>
      <c r="G13" s="171"/>
      <c r="H13" s="171"/>
      <c r="I13" s="157"/>
      <c r="J13" s="36"/>
      <c r="K13" s="142">
        <f t="shared" ref="K13:L13" si="3">L13*K12</f>
        <v>1.7077508714860705</v>
      </c>
      <c r="L13" s="142">
        <f t="shared" si="3"/>
        <v>1.2650008402910771</v>
      </c>
      <c r="M13" s="142">
        <f>N13*M12</f>
        <v>1.1000008858258998</v>
      </c>
      <c r="N13" s="142">
        <v>1</v>
      </c>
      <c r="O13" s="36"/>
      <c r="P13" s="36"/>
      <c r="Q13" s="36"/>
      <c r="R13" s="83" t="s">
        <v>165</v>
      </c>
      <c r="S13" s="196">
        <f>LOGEST(S8:S11)-1</f>
        <v>1.9999838588379504E-2</v>
      </c>
      <c r="T13" s="36"/>
      <c r="U13" s="36"/>
    </row>
    <row r="14" spans="1:21" x14ac:dyDescent="0.25">
      <c r="A14" s="180"/>
      <c r="B14" s="181" t="s">
        <v>18</v>
      </c>
      <c r="C14" s="156"/>
      <c r="D14" s="156"/>
      <c r="E14" s="156"/>
      <c r="F14" s="156"/>
      <c r="G14" s="156"/>
      <c r="H14" s="156"/>
      <c r="I14" s="157"/>
      <c r="J14" s="36"/>
      <c r="K14" s="36"/>
      <c r="L14" s="36"/>
      <c r="M14" s="36"/>
      <c r="N14" s="36"/>
      <c r="O14" s="36"/>
      <c r="P14" s="36"/>
      <c r="Q14" s="36"/>
      <c r="R14" s="36"/>
      <c r="S14" s="36"/>
      <c r="T14" s="36"/>
      <c r="U14" s="36"/>
    </row>
    <row r="15" spans="1:21" x14ac:dyDescent="0.25">
      <c r="A15" s="180"/>
      <c r="B15" s="181"/>
      <c r="C15" s="156"/>
      <c r="D15" s="156"/>
      <c r="E15" s="156"/>
      <c r="F15" s="156"/>
      <c r="G15" s="156"/>
      <c r="H15" s="156"/>
      <c r="I15" s="157"/>
      <c r="J15" s="36"/>
      <c r="K15" s="36"/>
      <c r="L15" s="36"/>
      <c r="M15" s="36"/>
      <c r="N15" s="36"/>
      <c r="O15" s="36"/>
      <c r="P15" s="36"/>
      <c r="Q15" s="36"/>
      <c r="R15" s="36"/>
      <c r="S15" s="36"/>
      <c r="T15" s="36"/>
      <c r="U15" s="36"/>
    </row>
    <row r="16" spans="1:21" x14ac:dyDescent="0.25">
      <c r="A16" s="158">
        <v>1.25</v>
      </c>
      <c r="B16" s="183" t="s">
        <v>19</v>
      </c>
      <c r="C16" s="156"/>
      <c r="D16" s="156"/>
      <c r="E16" s="156"/>
      <c r="F16" s="156"/>
      <c r="G16" s="156"/>
      <c r="H16" s="156"/>
      <c r="I16" s="157"/>
      <c r="J16" s="36"/>
      <c r="K16" s="36"/>
      <c r="L16" s="36"/>
      <c r="M16" s="36"/>
      <c r="N16" s="36"/>
      <c r="O16" s="36"/>
      <c r="P16" s="36"/>
      <c r="Q16" s="36"/>
      <c r="R16" s="36"/>
      <c r="S16" s="36"/>
      <c r="T16" s="36"/>
      <c r="U16" s="36"/>
    </row>
    <row r="17" spans="1:21" x14ac:dyDescent="0.25">
      <c r="A17" s="158"/>
      <c r="B17" s="184" t="s">
        <v>140</v>
      </c>
      <c r="C17" s="156"/>
      <c r="D17" s="156"/>
      <c r="E17" s="156"/>
      <c r="F17" s="156"/>
      <c r="G17" s="156"/>
      <c r="H17" s="156"/>
      <c r="I17" s="157"/>
      <c r="J17" s="83" t="s">
        <v>19</v>
      </c>
      <c r="K17" s="197">
        <f>S13</f>
        <v>1.9999838588379504E-2</v>
      </c>
      <c r="L17" s="36"/>
      <c r="M17" s="36"/>
      <c r="N17" s="36"/>
      <c r="O17" s="36"/>
      <c r="P17" s="36"/>
      <c r="Q17" s="36"/>
      <c r="R17" s="36"/>
      <c r="S17" s="36"/>
      <c r="T17" s="36"/>
      <c r="U17" s="36"/>
    </row>
    <row r="18" spans="1:21" x14ac:dyDescent="0.25">
      <c r="A18" s="158"/>
      <c r="B18" s="184"/>
      <c r="C18" s="156"/>
      <c r="D18" s="156"/>
      <c r="E18" s="156"/>
      <c r="F18" s="156"/>
      <c r="G18" s="156"/>
      <c r="H18" s="156"/>
      <c r="I18" s="157"/>
      <c r="J18" s="36"/>
      <c r="K18" s="36"/>
      <c r="L18" s="36"/>
      <c r="M18" s="36"/>
      <c r="N18" s="36"/>
      <c r="O18" s="36"/>
      <c r="P18" s="36"/>
      <c r="Q18" s="36"/>
      <c r="R18" s="36"/>
      <c r="S18" s="36"/>
      <c r="T18" s="36"/>
      <c r="U18" s="36"/>
    </row>
    <row r="19" spans="1:21" x14ac:dyDescent="0.25">
      <c r="A19" s="158">
        <v>1</v>
      </c>
      <c r="B19" s="183" t="s">
        <v>21</v>
      </c>
      <c r="C19" s="156"/>
      <c r="D19" s="156"/>
      <c r="E19" s="156"/>
      <c r="F19" s="156"/>
      <c r="G19" s="156"/>
      <c r="H19" s="156"/>
      <c r="I19" s="157"/>
      <c r="J19" s="36"/>
      <c r="K19" s="36"/>
      <c r="L19" s="36"/>
      <c r="M19" s="36"/>
      <c r="N19" s="36"/>
      <c r="O19" s="36"/>
      <c r="P19" s="36"/>
      <c r="Q19" s="36"/>
      <c r="R19" s="36"/>
      <c r="S19" s="36"/>
      <c r="T19" s="36"/>
      <c r="U19" s="36"/>
    </row>
    <row r="20" spans="1:21" x14ac:dyDescent="0.25">
      <c r="A20" s="158"/>
      <c r="B20" s="184" t="s">
        <v>141</v>
      </c>
      <c r="C20" s="156"/>
      <c r="D20" s="156"/>
      <c r="E20" s="156"/>
      <c r="F20" s="156"/>
      <c r="G20" s="156"/>
      <c r="H20" s="156"/>
      <c r="I20" s="157"/>
      <c r="J20" s="36"/>
      <c r="K20" s="36" t="str">
        <f>P6</f>
        <v>reported claims</v>
      </c>
      <c r="L20" s="36" t="str">
        <f>Q6</f>
        <v>CDF</v>
      </c>
      <c r="M20" s="36" t="str">
        <f>R6</f>
        <v>Indicated Ult</v>
      </c>
      <c r="N20" s="36" t="s">
        <v>166</v>
      </c>
      <c r="O20" s="36" t="s">
        <v>167</v>
      </c>
      <c r="P20" s="36" t="s">
        <v>168</v>
      </c>
      <c r="Q20" s="36" t="s">
        <v>169</v>
      </c>
      <c r="R20" s="36" t="s">
        <v>170</v>
      </c>
      <c r="S20" s="36"/>
      <c r="T20" s="36"/>
      <c r="U20" s="36"/>
    </row>
    <row r="21" spans="1:21" x14ac:dyDescent="0.25">
      <c r="A21" s="158"/>
      <c r="B21" s="184" t="s">
        <v>142</v>
      </c>
      <c r="C21" s="156"/>
      <c r="D21" s="156"/>
      <c r="E21" s="156"/>
      <c r="F21" s="156"/>
      <c r="G21" s="156"/>
      <c r="H21" s="156"/>
      <c r="I21" s="157"/>
      <c r="J21" s="36"/>
      <c r="K21" s="36"/>
      <c r="L21" s="36"/>
      <c r="M21" s="36"/>
      <c r="N21" s="36"/>
      <c r="O21" s="36"/>
      <c r="P21" s="36"/>
      <c r="Q21" s="36"/>
      <c r="R21" s="36"/>
      <c r="S21" s="36"/>
      <c r="T21" s="36"/>
      <c r="U21" s="36"/>
    </row>
    <row r="22" spans="1:21" x14ac:dyDescent="0.25">
      <c r="A22" s="158"/>
      <c r="B22" s="184"/>
      <c r="C22" s="156"/>
      <c r="D22" s="156"/>
      <c r="E22" s="156"/>
      <c r="F22" s="156"/>
      <c r="G22" s="156"/>
      <c r="H22" s="156"/>
      <c r="I22" s="157"/>
      <c r="J22" s="36"/>
      <c r="K22" s="36">
        <f t="shared" ref="K22:M25" si="4">P8</f>
        <v>620890</v>
      </c>
      <c r="L22" s="36">
        <f t="shared" si="4"/>
        <v>1</v>
      </c>
      <c r="M22" s="36">
        <f t="shared" si="4"/>
        <v>620890</v>
      </c>
      <c r="N22" s="36">
        <f>1.2/1</f>
        <v>1.2</v>
      </c>
      <c r="O22" s="36">
        <f>M22*N22</f>
        <v>745068</v>
      </c>
      <c r="P22" s="36">
        <f t="shared" ref="P22:P24" si="5">O22*(1+$V$17)^Q22</f>
        <v>745068</v>
      </c>
      <c r="Q22" s="36">
        <f t="shared" ref="Q22:Q23" si="6">Q23+1</f>
        <v>4.5</v>
      </c>
      <c r="R22" s="36">
        <f>P22/C8</f>
        <v>829.69710467706011</v>
      </c>
      <c r="S22" s="36"/>
      <c r="T22" s="36"/>
      <c r="U22" s="36"/>
    </row>
    <row r="23" spans="1:21" x14ac:dyDescent="0.25">
      <c r="A23" s="158">
        <v>0.5</v>
      </c>
      <c r="B23" s="183" t="s">
        <v>52</v>
      </c>
      <c r="C23" s="156"/>
      <c r="D23" s="156"/>
      <c r="E23" s="156"/>
      <c r="F23" s="156"/>
      <c r="G23" s="156"/>
      <c r="H23" s="156"/>
      <c r="I23" s="157"/>
      <c r="J23" s="36"/>
      <c r="K23" s="36">
        <f t="shared" si="4"/>
        <v>601380</v>
      </c>
      <c r="L23" s="36">
        <f t="shared" si="4"/>
        <v>1.1000008858258998</v>
      </c>
      <c r="M23" s="36">
        <f t="shared" si="4"/>
        <v>661518.53271797963</v>
      </c>
      <c r="N23" s="36">
        <f>1.2/1</f>
        <v>1.2</v>
      </c>
      <c r="O23" s="36">
        <f t="shared" ref="O23:O25" si="7">M23*N23</f>
        <v>793822.23926157551</v>
      </c>
      <c r="P23" s="36">
        <f t="shared" si="5"/>
        <v>793822.23926157551</v>
      </c>
      <c r="Q23" s="36">
        <f t="shared" si="6"/>
        <v>3.5</v>
      </c>
      <c r="R23" s="36">
        <f t="shared" ref="R23:R25" si="8">P23/C9</f>
        <v>846.29236595050691</v>
      </c>
      <c r="S23" s="36"/>
      <c r="T23" s="36"/>
      <c r="U23" s="36"/>
    </row>
    <row r="24" spans="1:21" x14ac:dyDescent="0.25">
      <c r="A24" s="158"/>
      <c r="B24" s="184" t="s">
        <v>143</v>
      </c>
      <c r="C24" s="156"/>
      <c r="D24" s="156"/>
      <c r="E24" s="156"/>
      <c r="F24" s="156"/>
      <c r="G24" s="156"/>
      <c r="H24" s="156"/>
      <c r="I24" s="157"/>
      <c r="J24" s="36"/>
      <c r="K24" s="36">
        <f t="shared" si="4"/>
        <v>557281</v>
      </c>
      <c r="L24" s="36">
        <f t="shared" si="4"/>
        <v>1.2650008402910771</v>
      </c>
      <c r="M24" s="36">
        <f t="shared" si="4"/>
        <v>704960.93327825167</v>
      </c>
      <c r="N24" s="36">
        <f>1.2/1</f>
        <v>1.2</v>
      </c>
      <c r="O24" s="36">
        <f t="shared" si="7"/>
        <v>845953.11993390194</v>
      </c>
      <c r="P24" s="36">
        <f t="shared" si="5"/>
        <v>845953.11993390194</v>
      </c>
      <c r="Q24" s="36">
        <f>Q25+1</f>
        <v>2.5</v>
      </c>
      <c r="R24" s="36">
        <f t="shared" si="8"/>
        <v>863.21746932030806</v>
      </c>
      <c r="S24" s="36"/>
      <c r="T24" s="36"/>
      <c r="U24" s="36"/>
    </row>
    <row r="25" spans="1:21" ht="15.75" thickBot="1" x14ac:dyDescent="0.3">
      <c r="A25" s="185"/>
      <c r="B25" s="186"/>
      <c r="C25" s="187"/>
      <c r="D25" s="187"/>
      <c r="E25" s="187"/>
      <c r="F25" s="187"/>
      <c r="G25" s="187"/>
      <c r="H25" s="187"/>
      <c r="I25" s="188"/>
      <c r="J25" s="36"/>
      <c r="K25" s="36">
        <f t="shared" si="4"/>
        <v>439961</v>
      </c>
      <c r="L25" s="36">
        <f t="shared" si="4"/>
        <v>1.7077508714860705</v>
      </c>
      <c r="M25" s="36">
        <f t="shared" si="4"/>
        <v>751343.78116988309</v>
      </c>
      <c r="N25" s="36">
        <f>1.2/1</f>
        <v>1.2</v>
      </c>
      <c r="O25" s="36">
        <f t="shared" si="7"/>
        <v>901612.53740385966</v>
      </c>
      <c r="P25" s="36">
        <f>O25*(1+$V$17)^Q25</f>
        <v>901612.53740385966</v>
      </c>
      <c r="Q25" s="36">
        <v>1.5</v>
      </c>
      <c r="R25" s="36">
        <f t="shared" si="8"/>
        <v>880.4809935584567</v>
      </c>
      <c r="S25" s="36"/>
      <c r="T25" s="36"/>
      <c r="U25" s="36"/>
    </row>
    <row r="26" spans="1:21" x14ac:dyDescent="0.25">
      <c r="A26" s="82"/>
      <c r="B26" s="82"/>
      <c r="C26" s="82"/>
      <c r="D26" s="82"/>
      <c r="E26" s="82"/>
      <c r="F26" s="82"/>
      <c r="G26" s="82"/>
      <c r="H26" s="82"/>
      <c r="I26" s="82"/>
      <c r="J26" s="36"/>
      <c r="K26" s="36"/>
      <c r="L26" s="36"/>
      <c r="M26" s="36"/>
      <c r="N26" s="36"/>
      <c r="O26" s="36"/>
      <c r="P26" s="36"/>
      <c r="Q26" s="36"/>
      <c r="R26" s="36"/>
      <c r="S26" s="36"/>
      <c r="T26" s="36"/>
      <c r="U26" s="36"/>
    </row>
    <row r="27" spans="1:21" x14ac:dyDescent="0.25">
      <c r="A27" s="82"/>
      <c r="B27" s="82" t="s">
        <v>171</v>
      </c>
      <c r="C27" s="82"/>
      <c r="D27" s="82"/>
      <c r="E27" s="82"/>
      <c r="F27" s="82"/>
      <c r="G27" s="82"/>
      <c r="H27" s="82"/>
      <c r="I27" s="82"/>
      <c r="J27" s="36"/>
      <c r="K27" s="36"/>
      <c r="L27" s="36"/>
      <c r="M27" s="36"/>
      <c r="N27" s="83" t="s">
        <v>21</v>
      </c>
      <c r="O27" s="36"/>
      <c r="P27" s="36"/>
      <c r="Q27" s="198" t="s">
        <v>172</v>
      </c>
      <c r="R27" s="83">
        <f>AVERAGE(R22:R25)</f>
        <v>854.92198337658294</v>
      </c>
      <c r="S27" s="36"/>
      <c r="T27" s="36"/>
      <c r="U27" s="36"/>
    </row>
    <row r="28" spans="1:21" x14ac:dyDescent="0.25">
      <c r="A28" s="82"/>
      <c r="B28" s="82" t="s">
        <v>173</v>
      </c>
      <c r="C28" s="82"/>
      <c r="D28" s="82"/>
      <c r="E28" s="82"/>
      <c r="F28" s="82"/>
      <c r="G28" s="82"/>
      <c r="H28" s="82"/>
      <c r="I28" s="82"/>
      <c r="J28" s="36"/>
      <c r="K28" s="36"/>
      <c r="L28" s="36"/>
      <c r="M28" s="36"/>
      <c r="N28" s="36"/>
      <c r="O28" s="36"/>
      <c r="P28" s="36"/>
      <c r="Q28" s="83" t="s">
        <v>174</v>
      </c>
      <c r="R28" s="83"/>
      <c r="S28" s="36"/>
      <c r="T28" s="36"/>
      <c r="U28" s="36"/>
    </row>
    <row r="29" spans="1:21" x14ac:dyDescent="0.25">
      <c r="A29" s="82"/>
      <c r="B29" s="82" t="s">
        <v>175</v>
      </c>
      <c r="C29" s="82"/>
      <c r="D29" s="82"/>
      <c r="E29" s="82"/>
      <c r="F29" s="82"/>
      <c r="G29" s="82"/>
      <c r="H29" s="82"/>
      <c r="I29" s="82"/>
      <c r="J29" s="36"/>
      <c r="K29" s="36"/>
      <c r="L29" s="36"/>
      <c r="M29" s="36"/>
      <c r="N29" s="36"/>
      <c r="O29" s="36"/>
      <c r="P29" s="36"/>
      <c r="Q29" s="36"/>
      <c r="R29" s="36"/>
      <c r="S29" s="36"/>
      <c r="T29" s="36"/>
      <c r="U29" s="36"/>
    </row>
    <row r="30" spans="1:21" x14ac:dyDescent="0.25">
      <c r="A30" s="82"/>
      <c r="B30" s="82" t="s">
        <v>176</v>
      </c>
      <c r="C30" s="82"/>
      <c r="D30" s="82"/>
      <c r="E30" s="82"/>
      <c r="F30" s="82"/>
      <c r="G30" s="82"/>
      <c r="H30" s="82"/>
      <c r="I30" s="82"/>
      <c r="J30" s="36"/>
      <c r="K30" s="199"/>
      <c r="L30" s="36"/>
      <c r="M30" s="36"/>
      <c r="N30" s="36"/>
      <c r="O30" s="36"/>
      <c r="P30" s="36"/>
      <c r="Q30" s="36"/>
      <c r="R30" s="36"/>
      <c r="S30" s="36"/>
      <c r="T30" s="36"/>
      <c r="U30" s="36"/>
    </row>
    <row r="31" spans="1:21" x14ac:dyDescent="0.25">
      <c r="A31" s="82"/>
      <c r="B31" s="82" t="s">
        <v>177</v>
      </c>
      <c r="C31" s="82"/>
      <c r="D31" s="82"/>
      <c r="E31" s="82"/>
      <c r="F31" s="82"/>
      <c r="G31" s="82"/>
      <c r="H31" s="82"/>
      <c r="I31" s="82"/>
      <c r="J31" s="36"/>
      <c r="K31" s="36"/>
      <c r="L31" s="36"/>
      <c r="M31" s="36"/>
      <c r="N31" s="36"/>
      <c r="O31" s="36"/>
      <c r="P31" s="36"/>
      <c r="Q31" s="36"/>
      <c r="R31" s="36"/>
      <c r="S31" s="36"/>
      <c r="T31" s="36"/>
      <c r="U31" s="36"/>
    </row>
    <row r="32" spans="1:21" x14ac:dyDescent="0.25">
      <c r="A32" s="82"/>
      <c r="B32" s="82" t="s">
        <v>178</v>
      </c>
      <c r="C32" s="82"/>
      <c r="D32" s="82"/>
      <c r="E32" s="82"/>
      <c r="F32" s="82"/>
      <c r="G32" s="82"/>
      <c r="H32" s="82"/>
      <c r="I32" s="82"/>
      <c r="J32" s="36"/>
      <c r="K32" s="36"/>
      <c r="L32" s="36"/>
      <c r="M32" s="36"/>
      <c r="N32" s="36"/>
      <c r="O32" s="36"/>
      <c r="P32" s="36"/>
      <c r="Q32" s="36"/>
      <c r="R32" s="36"/>
      <c r="S32" s="36"/>
      <c r="T32" s="36"/>
      <c r="U32" s="36"/>
    </row>
    <row r="33" spans="1:21" x14ac:dyDescent="0.25">
      <c r="A33" s="82"/>
      <c r="B33" s="82" t="s">
        <v>179</v>
      </c>
      <c r="C33" s="82"/>
      <c r="D33" s="82"/>
      <c r="E33" s="82"/>
      <c r="F33" s="82"/>
      <c r="G33" s="82"/>
      <c r="H33" s="82"/>
      <c r="I33" s="82"/>
      <c r="J33" s="36"/>
      <c r="K33" s="36"/>
      <c r="L33" s="36"/>
      <c r="M33" s="36"/>
      <c r="N33" s="36"/>
      <c r="O33" s="36"/>
      <c r="P33" s="36"/>
      <c r="Q33" s="36"/>
      <c r="R33" s="36"/>
      <c r="S33" s="36"/>
      <c r="T33" s="36"/>
      <c r="U33" s="36"/>
    </row>
    <row r="34" spans="1:21" x14ac:dyDescent="0.25">
      <c r="A34" s="82"/>
      <c r="B34" s="82"/>
      <c r="C34" s="82"/>
      <c r="D34" s="82"/>
      <c r="E34" s="82"/>
      <c r="F34" s="82"/>
      <c r="G34" s="82"/>
      <c r="H34" s="82"/>
      <c r="I34" s="82"/>
      <c r="J34" s="36"/>
      <c r="K34" s="36"/>
      <c r="L34" s="36"/>
      <c r="M34" s="36"/>
      <c r="N34" s="36"/>
      <c r="O34" s="36"/>
      <c r="P34" s="36"/>
      <c r="Q34" s="36"/>
      <c r="R34" s="36"/>
      <c r="S34" s="36"/>
      <c r="T34" s="36"/>
      <c r="U34" s="36"/>
    </row>
    <row r="35" spans="1:21" x14ac:dyDescent="0.25">
      <c r="A35" s="82"/>
      <c r="B35" s="82"/>
      <c r="C35" s="82"/>
      <c r="D35" s="82"/>
      <c r="E35" s="82"/>
      <c r="F35" s="82"/>
      <c r="G35" s="82"/>
      <c r="H35" s="82"/>
      <c r="I35" s="82"/>
      <c r="J35" s="36"/>
      <c r="K35" s="36"/>
      <c r="L35" s="36"/>
      <c r="M35" s="36"/>
      <c r="N35" s="36"/>
      <c r="O35" s="36"/>
      <c r="P35" s="36"/>
      <c r="Q35" s="36"/>
      <c r="R35" s="36"/>
      <c r="S35" s="36"/>
      <c r="T35" s="36"/>
      <c r="U35" s="36"/>
    </row>
    <row r="36" spans="1:21" x14ac:dyDescent="0.25">
      <c r="A36" s="82"/>
      <c r="B36" s="82"/>
      <c r="C36" s="82"/>
      <c r="D36" s="82"/>
      <c r="E36" s="82"/>
      <c r="F36" s="82"/>
      <c r="G36" s="82"/>
      <c r="H36" s="82"/>
      <c r="I36" s="82"/>
      <c r="J36" s="36"/>
      <c r="K36" s="36"/>
      <c r="L36" s="36"/>
      <c r="M36" s="36"/>
      <c r="N36" s="36"/>
      <c r="O36" s="36"/>
      <c r="P36" s="36"/>
      <c r="Q36" s="36"/>
      <c r="R36" s="36"/>
      <c r="S36" s="36"/>
      <c r="T36" s="36"/>
      <c r="U36" s="36"/>
    </row>
    <row r="37" spans="1:21" x14ac:dyDescent="0.25">
      <c r="A37" s="82"/>
      <c r="B37" s="82"/>
      <c r="C37" s="82"/>
      <c r="D37" s="82"/>
      <c r="E37" s="82"/>
      <c r="F37" s="82"/>
      <c r="G37" s="82"/>
      <c r="H37" s="82"/>
      <c r="I37" s="82"/>
      <c r="J37" s="36"/>
      <c r="K37" s="36"/>
      <c r="L37" s="36"/>
      <c r="M37" s="36"/>
      <c r="N37" s="36"/>
      <c r="O37" s="36"/>
      <c r="P37" s="36"/>
      <c r="Q37" s="36"/>
      <c r="R37" s="36"/>
      <c r="S37" s="36"/>
      <c r="T37" s="36"/>
      <c r="U37" s="36"/>
    </row>
    <row r="38" spans="1:21" x14ac:dyDescent="0.25">
      <c r="A38" s="82"/>
      <c r="B38" s="82"/>
      <c r="C38" s="82"/>
      <c r="D38" s="82"/>
      <c r="E38" s="82"/>
      <c r="F38" s="82"/>
      <c r="G38" s="82"/>
      <c r="H38" s="82"/>
      <c r="I38" s="82"/>
      <c r="J38" s="36"/>
      <c r="K38" s="36"/>
      <c r="L38" s="36"/>
      <c r="M38" s="36"/>
      <c r="N38" s="36"/>
      <c r="O38" s="36"/>
      <c r="P38" s="36"/>
      <c r="Q38" s="36"/>
      <c r="R38" s="36"/>
      <c r="S38" s="36"/>
      <c r="T38" s="36"/>
      <c r="U38" s="36"/>
    </row>
    <row r="39" spans="1:21" x14ac:dyDescent="0.25">
      <c r="A39" s="82"/>
      <c r="B39" s="82"/>
      <c r="C39" s="82"/>
      <c r="D39" s="82"/>
      <c r="E39" s="82"/>
      <c r="F39" s="82"/>
      <c r="G39" s="82"/>
      <c r="H39" s="82"/>
      <c r="I39" s="82"/>
      <c r="J39" s="36"/>
      <c r="K39" s="36"/>
      <c r="L39" s="36"/>
      <c r="M39" s="36"/>
      <c r="N39" s="36"/>
      <c r="O39" s="36"/>
      <c r="P39" s="36"/>
      <c r="Q39" s="36"/>
      <c r="R39" s="36"/>
      <c r="S39" s="36"/>
      <c r="T39" s="36"/>
      <c r="U39" s="36"/>
    </row>
    <row r="40" spans="1:21" x14ac:dyDescent="0.25">
      <c r="A40" s="82"/>
      <c r="B40" s="82"/>
      <c r="C40" s="82"/>
      <c r="D40" s="82"/>
      <c r="E40" s="82"/>
      <c r="F40" s="82"/>
      <c r="G40" s="82"/>
      <c r="H40" s="82"/>
      <c r="I40" s="82"/>
      <c r="J40" s="36"/>
      <c r="K40" s="36"/>
      <c r="L40" s="36"/>
      <c r="M40" s="36"/>
      <c r="N40" s="36"/>
      <c r="O40" s="36"/>
      <c r="P40" s="36"/>
      <c r="Q40" s="36"/>
      <c r="R40" s="36"/>
      <c r="S40" s="36"/>
      <c r="T40" s="36"/>
      <c r="U40" s="36"/>
    </row>
    <row r="41" spans="1:21" x14ac:dyDescent="0.25">
      <c r="A41" s="82"/>
      <c r="B41" s="82"/>
      <c r="C41" s="82"/>
      <c r="D41" s="82"/>
      <c r="E41" s="82"/>
      <c r="F41" s="82"/>
      <c r="G41" s="82"/>
      <c r="H41" s="82"/>
      <c r="I41" s="82"/>
      <c r="J41" s="36"/>
      <c r="K41" s="36"/>
      <c r="L41" s="36"/>
      <c r="M41" s="36"/>
      <c r="N41" s="36"/>
      <c r="O41" s="36"/>
      <c r="P41" s="36"/>
      <c r="Q41" s="36"/>
      <c r="R41" s="36"/>
      <c r="S41" s="36"/>
      <c r="T41" s="36"/>
      <c r="U41" s="36"/>
    </row>
    <row r="42" spans="1:21" x14ac:dyDescent="0.25">
      <c r="A42" s="82"/>
      <c r="B42" s="82"/>
      <c r="C42" s="82"/>
      <c r="D42" s="82"/>
      <c r="E42" s="82"/>
      <c r="F42" s="82"/>
      <c r="G42" s="82"/>
      <c r="H42" s="82"/>
      <c r="I42" s="82"/>
      <c r="J42" s="36"/>
      <c r="K42" s="36"/>
      <c r="L42" s="36"/>
      <c r="M42" s="36"/>
      <c r="N42" s="36"/>
      <c r="O42" s="36"/>
      <c r="P42" s="36"/>
      <c r="Q42" s="36"/>
      <c r="R42" s="36"/>
      <c r="S42" s="36"/>
      <c r="T42" s="36"/>
      <c r="U42" s="36"/>
    </row>
    <row r="43" spans="1:21" x14ac:dyDescent="0.25">
      <c r="A43" s="82"/>
      <c r="B43" s="82"/>
      <c r="C43" s="82"/>
      <c r="D43" s="82"/>
      <c r="E43" s="82"/>
      <c r="F43" s="82"/>
      <c r="G43" s="82"/>
      <c r="H43" s="82"/>
      <c r="I43" s="82"/>
      <c r="J43" s="36"/>
      <c r="K43" s="36"/>
      <c r="L43" s="36"/>
      <c r="M43" s="36"/>
      <c r="N43" s="36"/>
      <c r="O43" s="36"/>
      <c r="P43" s="36"/>
      <c r="Q43" s="36"/>
      <c r="R43" s="36"/>
      <c r="S43" s="36"/>
      <c r="T43" s="36"/>
      <c r="U43" s="36"/>
    </row>
    <row r="44" spans="1:21" x14ac:dyDescent="0.25">
      <c r="A44" s="82"/>
      <c r="B44" s="82"/>
      <c r="C44" s="82"/>
      <c r="D44" s="82"/>
      <c r="E44" s="82"/>
      <c r="F44" s="82"/>
      <c r="G44" s="82"/>
      <c r="H44" s="82"/>
      <c r="I44" s="82"/>
      <c r="J44" s="36"/>
      <c r="K44" s="36"/>
      <c r="L44" s="36"/>
      <c r="M44" s="36"/>
      <c r="N44" s="36"/>
      <c r="O44" s="36"/>
      <c r="P44" s="36"/>
      <c r="Q44" s="36"/>
      <c r="R44" s="36"/>
      <c r="S44" s="36"/>
      <c r="T44" s="36"/>
      <c r="U44" s="36"/>
    </row>
  </sheetData>
  <mergeCells count="1">
    <mergeCell ref="D6:G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W200"/>
  <sheetViews>
    <sheetView zoomScale="80" zoomScaleNormal="80" zoomScalePageLayoutView="80" workbookViewId="0"/>
  </sheetViews>
  <sheetFormatPr defaultColWidth="0" defaultRowHeight="0" customHeight="1" zeroHeight="1" x14ac:dyDescent="0.2"/>
  <cols>
    <col min="1" max="3" width="13.375" style="201" customWidth="1"/>
    <col min="4" max="4" width="22.125" style="201" customWidth="1"/>
    <col min="5" max="12" width="13.375" style="201" customWidth="1"/>
    <col min="13" max="49" width="8.875" style="201" customWidth="1"/>
    <col min="50" max="16384" width="8.875" style="201" hidden="1"/>
  </cols>
  <sheetData>
    <row r="1" spans="1:699" ht="15.75" customHeight="1" thickBot="1" x14ac:dyDescent="0.25">
      <c r="A1" s="1">
        <v>5</v>
      </c>
      <c r="B1" s="2"/>
      <c r="C1" s="1118"/>
      <c r="D1" s="1118"/>
      <c r="E1" s="1118"/>
      <c r="F1" s="1118"/>
      <c r="G1" s="1118"/>
      <c r="H1" s="1118"/>
      <c r="I1" s="1118"/>
      <c r="J1" s="1119"/>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row>
    <row r="2" spans="1:699" ht="50.25" customHeight="1" x14ac:dyDescent="0.2">
      <c r="A2" s="7" t="s">
        <v>0</v>
      </c>
      <c r="B2" s="45"/>
      <c r="C2" s="181"/>
      <c r="D2" s="181"/>
      <c r="E2" s="181"/>
      <c r="F2" s="181"/>
      <c r="G2" s="181"/>
      <c r="H2" s="181"/>
      <c r="I2" s="181"/>
      <c r="J2" s="112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row>
    <row r="3" spans="1:699" ht="15.75" customHeight="1" x14ac:dyDescent="0.2">
      <c r="A3" s="10">
        <v>2.5</v>
      </c>
      <c r="B3" s="45"/>
      <c r="C3" s="181"/>
      <c r="D3" s="181"/>
      <c r="E3" s="181"/>
      <c r="F3" s="181"/>
      <c r="G3" s="181"/>
      <c r="H3" s="181"/>
      <c r="I3" s="181"/>
      <c r="J3" s="112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row>
    <row r="4" spans="1:699" ht="15.75" customHeight="1" x14ac:dyDescent="0.2">
      <c r="A4" s="10"/>
      <c r="B4" s="45" t="s">
        <v>455</v>
      </c>
      <c r="C4" s="181"/>
      <c r="D4" s="181"/>
      <c r="E4" s="181"/>
      <c r="F4" s="181"/>
      <c r="G4" s="181"/>
      <c r="H4" s="181"/>
      <c r="I4" s="181"/>
      <c r="J4" s="112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row>
    <row r="5" spans="1:699" ht="15.75" customHeight="1" thickBot="1" x14ac:dyDescent="0.25">
      <c r="A5" s="10"/>
      <c r="B5" s="45"/>
      <c r="C5" s="181"/>
      <c r="D5" s="181"/>
      <c r="E5" s="181"/>
      <c r="F5" s="181"/>
      <c r="G5" s="181"/>
      <c r="H5" s="181"/>
      <c r="I5" s="181"/>
      <c r="J5" s="112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row>
    <row r="6" spans="1:699" ht="15.75" customHeight="1" thickBot="1" x14ac:dyDescent="0.25">
      <c r="A6" s="1121"/>
      <c r="B6" s="1188" t="s">
        <v>825</v>
      </c>
      <c r="C6" s="1189"/>
      <c r="D6" s="1189"/>
      <c r="E6" s="1189"/>
      <c r="F6" s="1189"/>
      <c r="G6" s="1189"/>
      <c r="H6" s="1189"/>
      <c r="I6" s="1190"/>
      <c r="J6" s="112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row>
    <row r="7" spans="1:699" ht="15.75" customHeight="1" thickBot="1" x14ac:dyDescent="0.25">
      <c r="A7" s="1122"/>
      <c r="B7" s="1123" t="s">
        <v>191</v>
      </c>
      <c r="C7" s="1124" t="s">
        <v>826</v>
      </c>
      <c r="D7" s="1124" t="s">
        <v>827</v>
      </c>
      <c r="E7" s="1124" t="s">
        <v>79</v>
      </c>
      <c r="F7" s="1124" t="s">
        <v>828</v>
      </c>
      <c r="G7" s="1124" t="s">
        <v>829</v>
      </c>
      <c r="H7" s="1124" t="s">
        <v>830</v>
      </c>
      <c r="I7" s="1125" t="s">
        <v>831</v>
      </c>
      <c r="J7" s="1126"/>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row>
    <row r="8" spans="1:699" ht="15.75" customHeight="1" x14ac:dyDescent="0.2">
      <c r="A8" s="1121"/>
      <c r="B8" s="1127">
        <v>2015</v>
      </c>
      <c r="C8" s="1128">
        <v>135000</v>
      </c>
      <c r="D8" s="1128">
        <v>98000</v>
      </c>
      <c r="E8" s="1128">
        <v>97000</v>
      </c>
      <c r="F8" s="1128">
        <v>6860.0000000000009</v>
      </c>
      <c r="G8" s="1128">
        <v>5880</v>
      </c>
      <c r="H8" s="1128">
        <v>3920</v>
      </c>
      <c r="I8" s="1129">
        <v>7840</v>
      </c>
      <c r="J8" s="113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row>
    <row r="9" spans="1:699" ht="15.75" customHeight="1" x14ac:dyDescent="0.2">
      <c r="A9" s="1121"/>
      <c r="B9" s="1131">
        <v>2016</v>
      </c>
      <c r="C9" s="1132">
        <v>138000</v>
      </c>
      <c r="D9" s="1132">
        <v>100000</v>
      </c>
      <c r="E9" s="1132">
        <v>99000</v>
      </c>
      <c r="F9" s="1132">
        <v>7000.0000000000009</v>
      </c>
      <c r="G9" s="1132">
        <v>6300</v>
      </c>
      <c r="H9" s="1132">
        <v>3900</v>
      </c>
      <c r="I9" s="1133">
        <v>8007</v>
      </c>
      <c r="J9" s="113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row>
    <row r="10" spans="1:699" s="214" customFormat="1" ht="15.75" customHeight="1" thickBot="1" x14ac:dyDescent="0.25">
      <c r="A10" s="1121"/>
      <c r="B10" s="1134">
        <v>2017</v>
      </c>
      <c r="C10" s="1135">
        <v>141000</v>
      </c>
      <c r="D10" s="1135">
        <v>102500</v>
      </c>
      <c r="E10" s="1135">
        <v>101250</v>
      </c>
      <c r="F10" s="1135">
        <v>7175.0000000000009</v>
      </c>
      <c r="G10" s="1135">
        <v>6253</v>
      </c>
      <c r="H10" s="1135">
        <v>4203</v>
      </c>
      <c r="I10" s="1136">
        <v>8212</v>
      </c>
      <c r="J10" s="113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201"/>
      <c r="DL10" s="201"/>
      <c r="DM10" s="201"/>
      <c r="DN10" s="201"/>
      <c r="DO10" s="201"/>
      <c r="DP10" s="201"/>
      <c r="DQ10" s="201"/>
      <c r="DR10" s="201"/>
      <c r="DS10" s="201"/>
      <c r="DT10" s="201"/>
      <c r="DU10" s="201"/>
      <c r="DV10" s="201"/>
      <c r="DW10" s="201"/>
      <c r="DX10" s="201"/>
      <c r="DY10" s="201"/>
      <c r="DZ10" s="201"/>
      <c r="EA10" s="201"/>
      <c r="EB10" s="201"/>
      <c r="EC10" s="201"/>
      <c r="ED10" s="201"/>
      <c r="EE10" s="201"/>
      <c r="EF10" s="201"/>
      <c r="EG10" s="201"/>
      <c r="EH10" s="201"/>
      <c r="EI10" s="201"/>
      <c r="EJ10" s="201"/>
      <c r="EK10" s="201"/>
      <c r="EL10" s="201"/>
      <c r="EM10" s="201"/>
      <c r="EN10" s="201"/>
      <c r="EO10" s="201"/>
      <c r="EP10" s="201"/>
      <c r="EQ10" s="201"/>
      <c r="ER10" s="201"/>
      <c r="ES10" s="201"/>
      <c r="ET10" s="201"/>
      <c r="EU10" s="201"/>
      <c r="EV10" s="201"/>
      <c r="EW10" s="201"/>
      <c r="EX10" s="201"/>
      <c r="EY10" s="201"/>
      <c r="EZ10" s="201"/>
      <c r="FA10" s="201"/>
      <c r="FB10" s="201"/>
      <c r="FC10" s="201"/>
      <c r="FD10" s="201"/>
      <c r="FE10" s="201"/>
      <c r="FF10" s="201"/>
      <c r="FG10" s="201"/>
      <c r="FH10" s="201"/>
      <c r="FI10" s="201"/>
      <c r="FJ10" s="201"/>
      <c r="FK10" s="201"/>
      <c r="FL10" s="201"/>
      <c r="FM10" s="201"/>
      <c r="FN10" s="201"/>
      <c r="FO10" s="201"/>
      <c r="FP10" s="201"/>
      <c r="FQ10" s="201"/>
      <c r="FR10" s="201"/>
      <c r="FS10" s="201"/>
      <c r="FT10" s="201"/>
      <c r="FU10" s="201"/>
      <c r="FV10" s="201"/>
      <c r="FW10" s="201"/>
      <c r="FX10" s="201"/>
      <c r="FY10" s="201"/>
      <c r="FZ10" s="201"/>
      <c r="GA10" s="201"/>
      <c r="GB10" s="201"/>
      <c r="GC10" s="201"/>
      <c r="GD10" s="201"/>
      <c r="GE10" s="201"/>
      <c r="GF10" s="201"/>
      <c r="GG10" s="201"/>
      <c r="GH10" s="201"/>
      <c r="GI10" s="201"/>
      <c r="GJ10" s="201"/>
      <c r="GK10" s="201"/>
      <c r="GL10" s="201"/>
      <c r="GM10" s="201"/>
      <c r="GN10" s="201"/>
      <c r="GO10" s="201"/>
      <c r="GP10" s="201"/>
      <c r="GQ10" s="201"/>
      <c r="GR10" s="201"/>
      <c r="GS10" s="201"/>
      <c r="GT10" s="201"/>
      <c r="GU10" s="201"/>
      <c r="GV10" s="201"/>
      <c r="GW10" s="201"/>
      <c r="GX10" s="201"/>
      <c r="GY10" s="201"/>
      <c r="GZ10" s="201"/>
      <c r="HA10" s="201"/>
      <c r="HB10" s="201"/>
      <c r="HC10" s="201"/>
      <c r="HD10" s="201"/>
      <c r="HE10" s="201"/>
      <c r="HF10" s="201"/>
      <c r="HG10" s="201"/>
      <c r="HH10" s="201"/>
      <c r="HI10" s="201"/>
      <c r="HJ10" s="201"/>
      <c r="HK10" s="201"/>
      <c r="HL10" s="201"/>
      <c r="HM10" s="201"/>
      <c r="HN10" s="201"/>
      <c r="HO10" s="201"/>
      <c r="HP10" s="201"/>
      <c r="HQ10" s="201"/>
      <c r="HR10" s="201"/>
      <c r="HS10" s="201"/>
      <c r="HT10" s="201"/>
      <c r="HU10" s="201"/>
      <c r="HV10" s="201"/>
      <c r="HW10" s="201"/>
      <c r="HX10" s="201"/>
      <c r="HY10" s="201"/>
      <c r="HZ10" s="201"/>
      <c r="IA10" s="201"/>
      <c r="IB10" s="201"/>
      <c r="IC10" s="201"/>
      <c r="ID10" s="201"/>
      <c r="IE10" s="201"/>
      <c r="IF10" s="201"/>
      <c r="IG10" s="201"/>
      <c r="IH10" s="201"/>
      <c r="II10" s="201"/>
      <c r="IJ10" s="201"/>
      <c r="IK10" s="201"/>
      <c r="IL10" s="201"/>
      <c r="IM10" s="201"/>
      <c r="IN10" s="201"/>
      <c r="IO10" s="201"/>
      <c r="IP10" s="201"/>
      <c r="IQ10" s="201"/>
      <c r="IR10" s="201"/>
      <c r="IS10" s="201"/>
      <c r="IT10" s="201"/>
      <c r="IU10" s="201"/>
      <c r="IV10" s="201"/>
      <c r="IW10" s="201"/>
      <c r="IX10" s="201"/>
      <c r="IY10" s="201"/>
      <c r="IZ10" s="201"/>
      <c r="JA10" s="201"/>
      <c r="JB10" s="201"/>
      <c r="JC10" s="201"/>
      <c r="JD10" s="201"/>
      <c r="JE10" s="201"/>
      <c r="JF10" s="201"/>
      <c r="JG10" s="201"/>
      <c r="JH10" s="201"/>
      <c r="JI10" s="201"/>
      <c r="JJ10" s="201"/>
      <c r="JK10" s="201"/>
      <c r="JL10" s="201"/>
      <c r="JM10" s="201"/>
      <c r="JN10" s="201"/>
      <c r="JO10" s="201"/>
      <c r="JP10" s="201"/>
      <c r="JQ10" s="201"/>
      <c r="JR10" s="201"/>
      <c r="JS10" s="201"/>
      <c r="JT10" s="201"/>
      <c r="JU10" s="201"/>
      <c r="JV10" s="201"/>
      <c r="JW10" s="201"/>
      <c r="JX10" s="201"/>
      <c r="JY10" s="201"/>
      <c r="JZ10" s="201"/>
      <c r="KA10" s="201"/>
      <c r="KB10" s="201"/>
      <c r="KC10" s="201"/>
      <c r="KD10" s="201"/>
      <c r="KE10" s="201"/>
      <c r="KF10" s="201"/>
      <c r="KG10" s="201"/>
      <c r="KH10" s="201"/>
      <c r="KI10" s="201"/>
      <c r="KJ10" s="201"/>
      <c r="KK10" s="201"/>
      <c r="KL10" s="201"/>
      <c r="KM10" s="201"/>
      <c r="KN10" s="201"/>
      <c r="KO10" s="201"/>
      <c r="KP10" s="201"/>
      <c r="KQ10" s="201"/>
      <c r="KR10" s="201"/>
      <c r="KS10" s="201"/>
      <c r="KT10" s="201"/>
      <c r="KU10" s="201"/>
      <c r="KV10" s="201"/>
      <c r="KW10" s="201"/>
      <c r="KX10" s="201"/>
      <c r="KY10" s="201"/>
      <c r="KZ10" s="201"/>
      <c r="LA10" s="201"/>
      <c r="LB10" s="201"/>
      <c r="LC10" s="201"/>
      <c r="LD10" s="201"/>
      <c r="LE10" s="201"/>
      <c r="LF10" s="201"/>
      <c r="LG10" s="201"/>
      <c r="LH10" s="201"/>
      <c r="LI10" s="201"/>
      <c r="LJ10" s="201"/>
      <c r="LK10" s="201"/>
      <c r="LL10" s="201"/>
      <c r="LM10" s="201"/>
      <c r="LN10" s="201"/>
      <c r="LO10" s="201"/>
      <c r="LP10" s="201"/>
      <c r="LQ10" s="201"/>
      <c r="LR10" s="201"/>
      <c r="LS10" s="201"/>
      <c r="LT10" s="201"/>
      <c r="LU10" s="201"/>
      <c r="LV10" s="201"/>
      <c r="LW10" s="201"/>
      <c r="LX10" s="201"/>
      <c r="LY10" s="201"/>
      <c r="LZ10" s="201"/>
      <c r="MA10" s="201"/>
      <c r="MB10" s="201"/>
      <c r="MC10" s="201"/>
      <c r="MD10" s="201"/>
      <c r="ME10" s="201"/>
      <c r="MF10" s="201"/>
      <c r="MG10" s="201"/>
      <c r="MH10" s="201"/>
      <c r="MI10" s="201"/>
      <c r="MJ10" s="201"/>
      <c r="MK10" s="201"/>
      <c r="ML10" s="201"/>
      <c r="MM10" s="201"/>
      <c r="MN10" s="201"/>
      <c r="MO10" s="201"/>
      <c r="MP10" s="201"/>
      <c r="MQ10" s="201"/>
      <c r="MR10" s="201"/>
      <c r="MS10" s="201"/>
      <c r="MT10" s="201"/>
      <c r="MU10" s="201"/>
      <c r="MV10" s="201"/>
      <c r="MW10" s="201"/>
      <c r="MX10" s="201"/>
      <c r="MY10" s="201"/>
      <c r="MZ10" s="201"/>
      <c r="NA10" s="201"/>
      <c r="NB10" s="201"/>
      <c r="NC10" s="201"/>
      <c r="ND10" s="201"/>
      <c r="NE10" s="201"/>
      <c r="NF10" s="201"/>
      <c r="NG10" s="201"/>
      <c r="NH10" s="201"/>
      <c r="NI10" s="201"/>
      <c r="NJ10" s="201"/>
      <c r="NK10" s="201"/>
      <c r="NL10" s="201"/>
      <c r="NM10" s="201"/>
      <c r="NN10" s="201"/>
      <c r="NO10" s="201"/>
      <c r="NP10" s="201"/>
      <c r="NQ10" s="201"/>
      <c r="NR10" s="201"/>
      <c r="NS10" s="201"/>
      <c r="NT10" s="201"/>
      <c r="NU10" s="201"/>
      <c r="NV10" s="201"/>
      <c r="NW10" s="201"/>
      <c r="NX10" s="201"/>
      <c r="NY10" s="201"/>
      <c r="NZ10" s="201"/>
      <c r="OA10" s="201"/>
      <c r="OB10" s="201"/>
      <c r="OC10" s="201"/>
      <c r="OD10" s="201"/>
      <c r="OE10" s="201"/>
      <c r="OF10" s="201"/>
      <c r="OG10" s="201"/>
      <c r="OH10" s="201"/>
      <c r="OI10" s="201"/>
      <c r="OJ10" s="201"/>
      <c r="OK10" s="201"/>
      <c r="OL10" s="201"/>
      <c r="OM10" s="201"/>
      <c r="ON10" s="201"/>
      <c r="OO10" s="201"/>
      <c r="OP10" s="201"/>
      <c r="OQ10" s="201"/>
      <c r="OR10" s="201"/>
      <c r="OS10" s="201"/>
      <c r="OT10" s="201"/>
      <c r="OU10" s="201"/>
      <c r="OV10" s="201"/>
      <c r="OW10" s="201"/>
      <c r="OX10" s="201"/>
      <c r="OY10" s="201"/>
      <c r="OZ10" s="201"/>
      <c r="PA10" s="201"/>
      <c r="PB10" s="201"/>
      <c r="PC10" s="201"/>
      <c r="PD10" s="201"/>
      <c r="PE10" s="201"/>
      <c r="PF10" s="201"/>
      <c r="PG10" s="201"/>
      <c r="PH10" s="201"/>
      <c r="PI10" s="201"/>
      <c r="PJ10" s="201"/>
      <c r="PK10" s="201"/>
      <c r="PL10" s="201"/>
      <c r="PM10" s="201"/>
      <c r="PN10" s="201"/>
      <c r="PO10" s="201"/>
      <c r="PP10" s="201"/>
      <c r="PQ10" s="201"/>
      <c r="PR10" s="201"/>
      <c r="PS10" s="201"/>
      <c r="PT10" s="201"/>
      <c r="PU10" s="201"/>
      <c r="PV10" s="201"/>
      <c r="PW10" s="201"/>
      <c r="PX10" s="201"/>
      <c r="PY10" s="201"/>
      <c r="PZ10" s="201"/>
      <c r="QA10" s="201"/>
      <c r="QB10" s="201"/>
      <c r="QC10" s="201"/>
      <c r="QD10" s="201"/>
      <c r="QE10" s="201"/>
      <c r="QF10" s="201"/>
      <c r="QG10" s="201"/>
      <c r="QH10" s="201"/>
      <c r="QI10" s="201"/>
      <c r="QJ10" s="201"/>
      <c r="QK10" s="201"/>
      <c r="QL10" s="201"/>
      <c r="QM10" s="201"/>
      <c r="QN10" s="201"/>
      <c r="QO10" s="201"/>
      <c r="QP10" s="201"/>
      <c r="QQ10" s="201"/>
      <c r="QR10" s="201"/>
      <c r="QS10" s="201"/>
      <c r="QT10" s="201"/>
      <c r="QU10" s="201"/>
      <c r="QV10" s="201"/>
      <c r="QW10" s="201"/>
      <c r="QX10" s="201"/>
      <c r="QY10" s="201"/>
      <c r="QZ10" s="201"/>
      <c r="RA10" s="201"/>
      <c r="RB10" s="201"/>
      <c r="RC10" s="201"/>
      <c r="RD10" s="201"/>
      <c r="RE10" s="201"/>
      <c r="RF10" s="201"/>
      <c r="RG10" s="201"/>
      <c r="RH10" s="201"/>
      <c r="RI10" s="201"/>
      <c r="RJ10" s="201"/>
      <c r="RK10" s="201"/>
      <c r="RL10" s="201"/>
      <c r="RM10" s="201"/>
      <c r="RN10" s="201"/>
      <c r="RO10" s="201"/>
      <c r="RP10" s="201"/>
      <c r="RQ10" s="201"/>
      <c r="RR10" s="201"/>
      <c r="RS10" s="201"/>
      <c r="RT10" s="201"/>
      <c r="RU10" s="201"/>
      <c r="RV10" s="201"/>
      <c r="RW10" s="201"/>
      <c r="RX10" s="201"/>
      <c r="RY10" s="201"/>
      <c r="RZ10" s="201"/>
      <c r="SA10" s="201"/>
      <c r="SB10" s="201"/>
      <c r="SC10" s="201"/>
      <c r="SD10" s="201"/>
      <c r="SE10" s="201"/>
      <c r="SF10" s="201"/>
      <c r="SG10" s="201"/>
      <c r="SH10" s="201"/>
      <c r="SI10" s="201"/>
      <c r="SJ10" s="201"/>
      <c r="SK10" s="201"/>
      <c r="SL10" s="201"/>
      <c r="SM10" s="201"/>
      <c r="SN10" s="201"/>
      <c r="SO10" s="201"/>
      <c r="SP10" s="201"/>
      <c r="SQ10" s="201"/>
      <c r="SR10" s="201"/>
      <c r="SS10" s="201"/>
      <c r="ST10" s="201"/>
      <c r="SU10" s="201"/>
      <c r="SV10" s="201"/>
      <c r="SW10" s="201"/>
      <c r="SX10" s="201"/>
      <c r="SY10" s="201"/>
      <c r="SZ10" s="201"/>
      <c r="TA10" s="201"/>
      <c r="TB10" s="201"/>
      <c r="TC10" s="201"/>
      <c r="TD10" s="201"/>
      <c r="TE10" s="201"/>
      <c r="TF10" s="201"/>
      <c r="TG10" s="201"/>
      <c r="TH10" s="201"/>
      <c r="TI10" s="201"/>
      <c r="TJ10" s="201"/>
      <c r="TK10" s="201"/>
      <c r="TL10" s="201"/>
      <c r="TM10" s="201"/>
      <c r="TN10" s="201"/>
      <c r="TO10" s="201"/>
      <c r="TP10" s="201"/>
      <c r="TQ10" s="201"/>
      <c r="TR10" s="201"/>
      <c r="TS10" s="201"/>
      <c r="TT10" s="201"/>
      <c r="TU10" s="201"/>
      <c r="TV10" s="201"/>
      <c r="TW10" s="201"/>
      <c r="TX10" s="201"/>
      <c r="TY10" s="201"/>
      <c r="TZ10" s="201"/>
      <c r="UA10" s="201"/>
      <c r="UB10" s="201"/>
      <c r="UC10" s="201"/>
      <c r="UD10" s="201"/>
      <c r="UE10" s="201"/>
      <c r="UF10" s="201"/>
      <c r="UG10" s="201"/>
      <c r="UH10" s="201"/>
      <c r="UI10" s="201"/>
      <c r="UJ10" s="201"/>
      <c r="UK10" s="201"/>
      <c r="UL10" s="201"/>
      <c r="UM10" s="201"/>
      <c r="UN10" s="201"/>
      <c r="UO10" s="201"/>
      <c r="UP10" s="201"/>
      <c r="UQ10" s="201"/>
      <c r="UR10" s="201"/>
      <c r="US10" s="201"/>
      <c r="UT10" s="201"/>
      <c r="UU10" s="201"/>
      <c r="UV10" s="201"/>
      <c r="UW10" s="201"/>
      <c r="UX10" s="201"/>
      <c r="UY10" s="201"/>
      <c r="UZ10" s="201"/>
      <c r="VA10" s="201"/>
      <c r="VB10" s="201"/>
      <c r="VC10" s="201"/>
      <c r="VD10" s="201"/>
      <c r="VE10" s="201"/>
      <c r="VF10" s="201"/>
      <c r="VG10" s="201"/>
      <c r="VH10" s="201"/>
      <c r="VI10" s="201"/>
      <c r="VJ10" s="201"/>
      <c r="VK10" s="201"/>
      <c r="VL10" s="201"/>
      <c r="VM10" s="201"/>
      <c r="VN10" s="201"/>
      <c r="VO10" s="201"/>
      <c r="VP10" s="201"/>
      <c r="VQ10" s="201"/>
      <c r="VR10" s="201"/>
      <c r="VS10" s="201"/>
      <c r="VT10" s="201"/>
      <c r="VU10" s="201"/>
      <c r="VV10" s="201"/>
      <c r="VW10" s="201"/>
      <c r="VX10" s="201"/>
      <c r="VY10" s="201"/>
      <c r="VZ10" s="201"/>
      <c r="WA10" s="201"/>
      <c r="WB10" s="201"/>
      <c r="WC10" s="201"/>
      <c r="WD10" s="201"/>
      <c r="WE10" s="201"/>
      <c r="WF10" s="201"/>
      <c r="WG10" s="201"/>
      <c r="WH10" s="201"/>
      <c r="WI10" s="201"/>
      <c r="WJ10" s="201"/>
      <c r="WK10" s="201"/>
      <c r="WL10" s="201"/>
      <c r="WM10" s="201"/>
      <c r="WN10" s="201"/>
      <c r="WO10" s="201"/>
      <c r="WP10" s="201"/>
      <c r="WQ10" s="201"/>
      <c r="WR10" s="201"/>
      <c r="WS10" s="201"/>
      <c r="WT10" s="201"/>
      <c r="WU10" s="201"/>
      <c r="WV10" s="201"/>
      <c r="WW10" s="201"/>
      <c r="WX10" s="201"/>
      <c r="WY10" s="201"/>
      <c r="WZ10" s="201"/>
      <c r="XA10" s="201"/>
      <c r="XB10" s="201"/>
      <c r="XC10" s="201"/>
      <c r="XD10" s="201"/>
      <c r="XE10" s="201"/>
      <c r="XF10" s="201"/>
      <c r="XG10" s="201"/>
      <c r="XH10" s="201"/>
      <c r="XI10" s="201"/>
      <c r="XJ10" s="201"/>
      <c r="XK10" s="201"/>
      <c r="XL10" s="201"/>
      <c r="XM10" s="201"/>
      <c r="XN10" s="201"/>
      <c r="XO10" s="201"/>
      <c r="XP10" s="201"/>
      <c r="XQ10" s="201"/>
      <c r="XR10" s="201"/>
      <c r="XS10" s="201"/>
      <c r="XT10" s="201"/>
      <c r="XU10" s="201"/>
      <c r="XV10" s="201"/>
      <c r="XW10" s="201"/>
      <c r="XX10" s="201"/>
      <c r="XY10" s="201"/>
      <c r="XZ10" s="201"/>
      <c r="YA10" s="201"/>
      <c r="YB10" s="201"/>
      <c r="YC10" s="201"/>
      <c r="YD10" s="201"/>
      <c r="YE10" s="201"/>
      <c r="YF10" s="201"/>
      <c r="YG10" s="201"/>
      <c r="YH10" s="201"/>
      <c r="YI10" s="201"/>
      <c r="YJ10" s="201"/>
      <c r="YK10" s="201"/>
      <c r="YL10" s="201"/>
      <c r="YM10" s="201"/>
      <c r="YN10" s="201"/>
      <c r="YO10" s="201"/>
      <c r="YP10" s="201"/>
      <c r="YQ10" s="201"/>
      <c r="YR10" s="201"/>
      <c r="YS10" s="201"/>
      <c r="YT10" s="201"/>
      <c r="YU10" s="201"/>
      <c r="YV10" s="201"/>
      <c r="YW10" s="201"/>
      <c r="YX10" s="201"/>
      <c r="YY10" s="201"/>
      <c r="YZ10" s="201"/>
      <c r="ZA10" s="201"/>
      <c r="ZB10" s="201"/>
      <c r="ZC10" s="201"/>
      <c r="ZD10" s="201"/>
      <c r="ZE10" s="201"/>
      <c r="ZF10" s="201"/>
      <c r="ZG10" s="201"/>
      <c r="ZH10" s="201"/>
      <c r="ZI10" s="201"/>
      <c r="ZJ10" s="201"/>
      <c r="ZK10" s="201"/>
      <c r="ZL10" s="201"/>
      <c r="ZM10" s="201"/>
      <c r="ZN10" s="201"/>
      <c r="ZO10" s="201"/>
      <c r="ZP10" s="201"/>
      <c r="ZQ10" s="201"/>
      <c r="ZR10" s="201"/>
      <c r="ZS10" s="201"/>
      <c r="ZT10" s="201"/>
      <c r="ZU10" s="201"/>
      <c r="ZV10" s="201"/>
      <c r="ZW10" s="201"/>
    </row>
    <row r="11" spans="1:699" s="214" customFormat="1" ht="15.75" customHeight="1" thickBot="1" x14ac:dyDescent="0.25">
      <c r="A11" s="180"/>
      <c r="B11" s="181"/>
      <c r="C11" s="1137"/>
      <c r="D11" s="1137"/>
      <c r="E11" s="1137"/>
      <c r="F11" s="1137"/>
      <c r="G11" s="1137"/>
      <c r="H11" s="1137"/>
      <c r="I11" s="1137"/>
      <c r="J11" s="112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1"/>
      <c r="CB11" s="201"/>
      <c r="CC11" s="201"/>
      <c r="CD11" s="201"/>
      <c r="CE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E11" s="201"/>
      <c r="DF11" s="201"/>
      <c r="DG11" s="201"/>
      <c r="DH11" s="201"/>
      <c r="DI11" s="201"/>
      <c r="DJ11" s="201"/>
      <c r="DK11" s="201"/>
      <c r="DL11" s="201"/>
      <c r="DM11" s="201"/>
      <c r="DN11" s="201"/>
      <c r="DO11" s="201"/>
      <c r="DP11" s="201"/>
      <c r="DQ11" s="201"/>
      <c r="DR11" s="201"/>
      <c r="DS11" s="201"/>
      <c r="DT11" s="201"/>
      <c r="DU11" s="201"/>
      <c r="DV11" s="201"/>
      <c r="DW11" s="201"/>
      <c r="DX11" s="201"/>
      <c r="DY11" s="201"/>
      <c r="DZ11" s="201"/>
      <c r="EA11" s="201"/>
      <c r="EB11" s="201"/>
      <c r="EC11" s="201"/>
      <c r="ED11" s="201"/>
      <c r="EE11" s="201"/>
      <c r="EF11" s="201"/>
      <c r="EG11" s="201"/>
      <c r="EH11" s="201"/>
      <c r="EI11" s="201"/>
      <c r="EJ11" s="201"/>
      <c r="EK11" s="201"/>
      <c r="EL11" s="201"/>
      <c r="EM11" s="201"/>
      <c r="EN11" s="201"/>
      <c r="EO11" s="201"/>
      <c r="EP11" s="201"/>
      <c r="EQ11" s="201"/>
      <c r="ER11" s="201"/>
      <c r="ES11" s="201"/>
      <c r="ET11" s="201"/>
      <c r="EU11" s="201"/>
      <c r="EV11" s="201"/>
      <c r="EW11" s="201"/>
      <c r="EX11" s="201"/>
      <c r="EY11" s="201"/>
      <c r="EZ11" s="201"/>
      <c r="FA11" s="201"/>
      <c r="FB11" s="201"/>
      <c r="FC11" s="201"/>
      <c r="FD11" s="201"/>
      <c r="FE11" s="201"/>
      <c r="FF11" s="201"/>
      <c r="FG11" s="201"/>
      <c r="FH11" s="201"/>
      <c r="FI11" s="201"/>
      <c r="FJ11" s="201"/>
      <c r="FK11" s="201"/>
      <c r="FL11" s="201"/>
      <c r="FM11" s="201"/>
      <c r="FN11" s="201"/>
      <c r="FO11" s="201"/>
      <c r="FP11" s="201"/>
      <c r="FQ11" s="201"/>
      <c r="FR11" s="201"/>
      <c r="FS11" s="201"/>
      <c r="FT11" s="201"/>
      <c r="FU11" s="201"/>
      <c r="FV11" s="201"/>
      <c r="FW11" s="201"/>
      <c r="FX11" s="201"/>
      <c r="FY11" s="201"/>
      <c r="FZ11" s="201"/>
      <c r="GA11" s="201"/>
      <c r="GB11" s="201"/>
      <c r="GC11" s="201"/>
      <c r="GD11" s="201"/>
      <c r="GE11" s="201"/>
      <c r="GF11" s="201"/>
      <c r="GG11" s="201"/>
      <c r="GH11" s="201"/>
      <c r="GI11" s="201"/>
      <c r="GJ11" s="201"/>
      <c r="GK11" s="201"/>
      <c r="GL11" s="201"/>
      <c r="GM11" s="201"/>
      <c r="GN11" s="201"/>
      <c r="GO11" s="201"/>
      <c r="GP11" s="201"/>
      <c r="GQ11" s="201"/>
      <c r="GR11" s="201"/>
      <c r="GS11" s="201"/>
      <c r="GT11" s="201"/>
      <c r="GU11" s="201"/>
      <c r="GV11" s="201"/>
      <c r="GW11" s="201"/>
      <c r="GX11" s="201"/>
      <c r="GY11" s="201"/>
      <c r="GZ11" s="201"/>
      <c r="HA11" s="201"/>
      <c r="HB11" s="201"/>
      <c r="HC11" s="201"/>
      <c r="HD11" s="201"/>
      <c r="HE11" s="201"/>
      <c r="HF11" s="201"/>
      <c r="HG11" s="201"/>
      <c r="HH11" s="201"/>
      <c r="HI11" s="201"/>
      <c r="HJ11" s="201"/>
      <c r="HK11" s="201"/>
      <c r="HL11" s="201"/>
      <c r="HM11" s="201"/>
      <c r="HN11" s="201"/>
      <c r="HO11" s="201"/>
      <c r="HP11" s="201"/>
      <c r="HQ11" s="201"/>
      <c r="HR11" s="201"/>
      <c r="HS11" s="201"/>
      <c r="HT11" s="201"/>
      <c r="HU11" s="201"/>
      <c r="HV11" s="201"/>
      <c r="HW11" s="201"/>
      <c r="HX11" s="201"/>
      <c r="HY11" s="201"/>
      <c r="HZ11" s="201"/>
      <c r="IA11" s="201"/>
      <c r="IB11" s="201"/>
      <c r="IC11" s="201"/>
      <c r="ID11" s="201"/>
      <c r="IE11" s="201"/>
      <c r="IF11" s="201"/>
      <c r="IG11" s="201"/>
      <c r="IH11" s="201"/>
      <c r="II11" s="201"/>
      <c r="IJ11" s="201"/>
      <c r="IK11" s="201"/>
      <c r="IL11" s="201"/>
      <c r="IM11" s="201"/>
      <c r="IN11" s="201"/>
      <c r="IO11" s="201"/>
      <c r="IP11" s="201"/>
      <c r="IQ11" s="201"/>
      <c r="IR11" s="201"/>
      <c r="IS11" s="201"/>
      <c r="IT11" s="201"/>
      <c r="IU11" s="201"/>
      <c r="IV11" s="201"/>
      <c r="IW11" s="201"/>
      <c r="IX11" s="201"/>
      <c r="IY11" s="201"/>
      <c r="IZ11" s="201"/>
      <c r="JA11" s="201"/>
      <c r="JB11" s="201"/>
      <c r="JC11" s="201"/>
      <c r="JD11" s="201"/>
      <c r="JE11" s="201"/>
      <c r="JF11" s="201"/>
      <c r="JG11" s="201"/>
      <c r="JH11" s="201"/>
      <c r="JI11" s="201"/>
      <c r="JJ11" s="201"/>
      <c r="JK11" s="201"/>
      <c r="JL11" s="201"/>
      <c r="JM11" s="201"/>
      <c r="JN11" s="201"/>
      <c r="JO11" s="201"/>
      <c r="JP11" s="201"/>
      <c r="JQ11" s="201"/>
      <c r="JR11" s="201"/>
      <c r="JS11" s="201"/>
      <c r="JT11" s="201"/>
      <c r="JU11" s="201"/>
      <c r="JV11" s="201"/>
      <c r="JW11" s="201"/>
      <c r="JX11" s="201"/>
      <c r="JY11" s="201"/>
      <c r="JZ11" s="201"/>
      <c r="KA11" s="201"/>
      <c r="KB11" s="201"/>
      <c r="KC11" s="201"/>
      <c r="KD11" s="201"/>
      <c r="KE11" s="201"/>
      <c r="KF11" s="201"/>
      <c r="KG11" s="201"/>
      <c r="KH11" s="201"/>
      <c r="KI11" s="201"/>
      <c r="KJ11" s="201"/>
      <c r="KK11" s="201"/>
      <c r="KL11" s="201"/>
      <c r="KM11" s="201"/>
      <c r="KN11" s="201"/>
      <c r="KO11" s="201"/>
      <c r="KP11" s="201"/>
      <c r="KQ11" s="201"/>
      <c r="KR11" s="201"/>
      <c r="KS11" s="201"/>
      <c r="KT11" s="201"/>
      <c r="KU11" s="201"/>
      <c r="KV11" s="201"/>
      <c r="KW11" s="201"/>
      <c r="KX11" s="201"/>
      <c r="KY11" s="201"/>
      <c r="KZ11" s="201"/>
      <c r="LA11" s="201"/>
      <c r="LB11" s="201"/>
      <c r="LC11" s="201"/>
      <c r="LD11" s="201"/>
      <c r="LE11" s="201"/>
      <c r="LF11" s="201"/>
      <c r="LG11" s="201"/>
      <c r="LH11" s="201"/>
      <c r="LI11" s="201"/>
      <c r="LJ11" s="201"/>
      <c r="LK11" s="201"/>
      <c r="LL11" s="201"/>
      <c r="LM11" s="201"/>
      <c r="LN11" s="201"/>
      <c r="LO11" s="201"/>
      <c r="LP11" s="201"/>
      <c r="LQ11" s="201"/>
      <c r="LR11" s="201"/>
      <c r="LS11" s="201"/>
      <c r="LT11" s="201"/>
      <c r="LU11" s="201"/>
      <c r="LV11" s="201"/>
      <c r="LW11" s="201"/>
      <c r="LX11" s="201"/>
      <c r="LY11" s="201"/>
      <c r="LZ11" s="201"/>
      <c r="MA11" s="201"/>
      <c r="MB11" s="201"/>
      <c r="MC11" s="201"/>
      <c r="MD11" s="201"/>
      <c r="ME11" s="201"/>
      <c r="MF11" s="201"/>
      <c r="MG11" s="201"/>
      <c r="MH11" s="201"/>
      <c r="MI11" s="201"/>
      <c r="MJ11" s="201"/>
      <c r="MK11" s="201"/>
      <c r="ML11" s="201"/>
      <c r="MM11" s="201"/>
      <c r="MN11" s="201"/>
      <c r="MO11" s="201"/>
      <c r="MP11" s="201"/>
      <c r="MQ11" s="201"/>
      <c r="MR11" s="201"/>
      <c r="MS11" s="201"/>
      <c r="MT11" s="201"/>
      <c r="MU11" s="201"/>
      <c r="MV11" s="201"/>
      <c r="MW11" s="201"/>
      <c r="MX11" s="201"/>
      <c r="MY11" s="201"/>
      <c r="MZ11" s="201"/>
      <c r="NA11" s="201"/>
      <c r="NB11" s="201"/>
      <c r="NC11" s="201"/>
      <c r="ND11" s="201"/>
      <c r="NE11" s="201"/>
      <c r="NF11" s="201"/>
      <c r="NG11" s="201"/>
      <c r="NH11" s="201"/>
      <c r="NI11" s="201"/>
      <c r="NJ11" s="201"/>
      <c r="NK11" s="201"/>
      <c r="NL11" s="201"/>
      <c r="NM11" s="201"/>
      <c r="NN11" s="201"/>
      <c r="NO11" s="201"/>
      <c r="NP11" s="201"/>
      <c r="NQ11" s="201"/>
      <c r="NR11" s="201"/>
      <c r="NS11" s="201"/>
      <c r="NT11" s="201"/>
      <c r="NU11" s="201"/>
      <c r="NV11" s="201"/>
      <c r="NW11" s="201"/>
      <c r="NX11" s="201"/>
      <c r="NY11" s="201"/>
      <c r="NZ11" s="201"/>
      <c r="OA11" s="201"/>
      <c r="OB11" s="201"/>
      <c r="OC11" s="201"/>
      <c r="OD11" s="201"/>
      <c r="OE11" s="201"/>
      <c r="OF11" s="201"/>
      <c r="OG11" s="201"/>
      <c r="OH11" s="201"/>
      <c r="OI11" s="201"/>
      <c r="OJ11" s="201"/>
      <c r="OK11" s="201"/>
      <c r="OL11" s="201"/>
      <c r="OM11" s="201"/>
      <c r="ON11" s="201"/>
      <c r="OO11" s="201"/>
      <c r="OP11" s="201"/>
      <c r="OQ11" s="201"/>
      <c r="OR11" s="201"/>
      <c r="OS11" s="201"/>
      <c r="OT11" s="201"/>
      <c r="OU11" s="201"/>
      <c r="OV11" s="201"/>
      <c r="OW11" s="201"/>
      <c r="OX11" s="201"/>
      <c r="OY11" s="201"/>
      <c r="OZ11" s="201"/>
      <c r="PA11" s="201"/>
      <c r="PB11" s="201"/>
      <c r="PC11" s="201"/>
      <c r="PD11" s="201"/>
      <c r="PE11" s="201"/>
      <c r="PF11" s="201"/>
      <c r="PG11" s="201"/>
      <c r="PH11" s="201"/>
      <c r="PI11" s="201"/>
      <c r="PJ11" s="201"/>
      <c r="PK11" s="201"/>
      <c r="PL11" s="201"/>
      <c r="PM11" s="201"/>
      <c r="PN11" s="201"/>
      <c r="PO11" s="201"/>
      <c r="PP11" s="201"/>
      <c r="PQ11" s="201"/>
      <c r="PR11" s="201"/>
      <c r="PS11" s="201"/>
      <c r="PT11" s="201"/>
      <c r="PU11" s="201"/>
      <c r="PV11" s="201"/>
      <c r="PW11" s="201"/>
      <c r="PX11" s="201"/>
      <c r="PY11" s="201"/>
      <c r="PZ11" s="201"/>
      <c r="QA11" s="201"/>
      <c r="QB11" s="201"/>
      <c r="QC11" s="201"/>
      <c r="QD11" s="201"/>
      <c r="QE11" s="201"/>
      <c r="QF11" s="201"/>
      <c r="QG11" s="201"/>
      <c r="QH11" s="201"/>
      <c r="QI11" s="201"/>
      <c r="QJ11" s="201"/>
      <c r="QK11" s="201"/>
      <c r="QL11" s="201"/>
      <c r="QM11" s="201"/>
      <c r="QN11" s="201"/>
      <c r="QO11" s="201"/>
      <c r="QP11" s="201"/>
      <c r="QQ11" s="201"/>
      <c r="QR11" s="201"/>
      <c r="QS11" s="201"/>
      <c r="QT11" s="201"/>
      <c r="QU11" s="201"/>
      <c r="QV11" s="201"/>
      <c r="QW11" s="201"/>
      <c r="QX11" s="201"/>
      <c r="QY11" s="201"/>
      <c r="QZ11" s="201"/>
      <c r="RA11" s="201"/>
      <c r="RB11" s="201"/>
      <c r="RC11" s="201"/>
      <c r="RD11" s="201"/>
      <c r="RE11" s="201"/>
      <c r="RF11" s="201"/>
      <c r="RG11" s="201"/>
      <c r="RH11" s="201"/>
      <c r="RI11" s="201"/>
      <c r="RJ11" s="201"/>
      <c r="RK11" s="201"/>
      <c r="RL11" s="201"/>
      <c r="RM11" s="201"/>
      <c r="RN11" s="201"/>
      <c r="RO11" s="201"/>
      <c r="RP11" s="201"/>
      <c r="RQ11" s="201"/>
      <c r="RR11" s="201"/>
      <c r="RS11" s="201"/>
      <c r="RT11" s="201"/>
      <c r="RU11" s="201"/>
      <c r="RV11" s="201"/>
      <c r="RW11" s="201"/>
      <c r="RX11" s="201"/>
      <c r="RY11" s="201"/>
      <c r="RZ11" s="201"/>
      <c r="SA11" s="201"/>
      <c r="SB11" s="201"/>
      <c r="SC11" s="201"/>
      <c r="SD11" s="201"/>
      <c r="SE11" s="201"/>
      <c r="SF11" s="201"/>
      <c r="SG11" s="201"/>
      <c r="SH11" s="201"/>
      <c r="SI11" s="201"/>
      <c r="SJ11" s="201"/>
      <c r="SK11" s="201"/>
      <c r="SL11" s="201"/>
      <c r="SM11" s="201"/>
      <c r="SN11" s="201"/>
      <c r="SO11" s="201"/>
      <c r="SP11" s="201"/>
      <c r="SQ11" s="201"/>
      <c r="SR11" s="201"/>
      <c r="SS11" s="201"/>
      <c r="ST11" s="201"/>
      <c r="SU11" s="201"/>
      <c r="SV11" s="201"/>
      <c r="SW11" s="201"/>
      <c r="SX11" s="201"/>
      <c r="SY11" s="201"/>
      <c r="SZ11" s="201"/>
      <c r="TA11" s="201"/>
      <c r="TB11" s="201"/>
      <c r="TC11" s="201"/>
      <c r="TD11" s="201"/>
      <c r="TE11" s="201"/>
      <c r="TF11" s="201"/>
      <c r="TG11" s="201"/>
      <c r="TH11" s="201"/>
      <c r="TI11" s="201"/>
      <c r="TJ11" s="201"/>
      <c r="TK11" s="201"/>
      <c r="TL11" s="201"/>
      <c r="TM11" s="201"/>
      <c r="TN11" s="201"/>
      <c r="TO11" s="201"/>
      <c r="TP11" s="201"/>
      <c r="TQ11" s="201"/>
      <c r="TR11" s="201"/>
      <c r="TS11" s="201"/>
      <c r="TT11" s="201"/>
      <c r="TU11" s="201"/>
      <c r="TV11" s="201"/>
      <c r="TW11" s="201"/>
      <c r="TX11" s="201"/>
      <c r="TY11" s="201"/>
      <c r="TZ11" s="201"/>
      <c r="UA11" s="201"/>
      <c r="UB11" s="201"/>
      <c r="UC11" s="201"/>
      <c r="UD11" s="201"/>
      <c r="UE11" s="201"/>
      <c r="UF11" s="201"/>
      <c r="UG11" s="201"/>
      <c r="UH11" s="201"/>
      <c r="UI11" s="201"/>
      <c r="UJ11" s="201"/>
      <c r="UK11" s="201"/>
      <c r="UL11" s="201"/>
      <c r="UM11" s="201"/>
      <c r="UN11" s="201"/>
      <c r="UO11" s="201"/>
      <c r="UP11" s="201"/>
      <c r="UQ11" s="201"/>
      <c r="UR11" s="201"/>
      <c r="US11" s="201"/>
      <c r="UT11" s="201"/>
      <c r="UU11" s="201"/>
      <c r="UV11" s="201"/>
      <c r="UW11" s="201"/>
      <c r="UX11" s="201"/>
      <c r="UY11" s="201"/>
      <c r="UZ11" s="201"/>
      <c r="VA11" s="201"/>
      <c r="VB11" s="201"/>
      <c r="VC11" s="201"/>
      <c r="VD11" s="201"/>
      <c r="VE11" s="201"/>
      <c r="VF11" s="201"/>
      <c r="VG11" s="201"/>
      <c r="VH11" s="201"/>
      <c r="VI11" s="201"/>
      <c r="VJ11" s="201"/>
      <c r="VK11" s="201"/>
      <c r="VL11" s="201"/>
      <c r="VM11" s="201"/>
      <c r="VN11" s="201"/>
      <c r="VO11" s="201"/>
      <c r="VP11" s="201"/>
      <c r="VQ11" s="201"/>
      <c r="VR11" s="201"/>
      <c r="VS11" s="201"/>
      <c r="VT11" s="201"/>
      <c r="VU11" s="201"/>
      <c r="VV11" s="201"/>
      <c r="VW11" s="201"/>
      <c r="VX11" s="201"/>
      <c r="VY11" s="201"/>
      <c r="VZ11" s="201"/>
      <c r="WA11" s="201"/>
      <c r="WB11" s="201"/>
      <c r="WC11" s="201"/>
      <c r="WD11" s="201"/>
      <c r="WE11" s="201"/>
      <c r="WF11" s="201"/>
      <c r="WG11" s="201"/>
      <c r="WH11" s="201"/>
      <c r="WI11" s="201"/>
      <c r="WJ11" s="201"/>
      <c r="WK11" s="201"/>
      <c r="WL11" s="201"/>
      <c r="WM11" s="201"/>
      <c r="WN11" s="201"/>
      <c r="WO11" s="201"/>
      <c r="WP11" s="201"/>
      <c r="WQ11" s="201"/>
      <c r="WR11" s="201"/>
      <c r="WS11" s="201"/>
      <c r="WT11" s="201"/>
      <c r="WU11" s="201"/>
      <c r="WV11" s="201"/>
      <c r="WW11" s="201"/>
      <c r="WX11" s="201"/>
      <c r="WY11" s="201"/>
      <c r="WZ11" s="201"/>
      <c r="XA11" s="201"/>
      <c r="XB11" s="201"/>
      <c r="XC11" s="201"/>
      <c r="XD11" s="201"/>
      <c r="XE11" s="201"/>
      <c r="XF11" s="201"/>
      <c r="XG11" s="201"/>
      <c r="XH11" s="201"/>
      <c r="XI11" s="201"/>
      <c r="XJ11" s="201"/>
      <c r="XK11" s="201"/>
      <c r="XL11" s="201"/>
      <c r="XM11" s="201"/>
      <c r="XN11" s="201"/>
      <c r="XO11" s="201"/>
      <c r="XP11" s="201"/>
      <c r="XQ11" s="201"/>
      <c r="XR11" s="201"/>
      <c r="XS11" s="201"/>
      <c r="XT11" s="201"/>
      <c r="XU11" s="201"/>
      <c r="XV11" s="201"/>
      <c r="XW11" s="201"/>
      <c r="XX11" s="201"/>
      <c r="XY11" s="201"/>
      <c r="XZ11" s="201"/>
      <c r="YA11" s="201"/>
      <c r="YB11" s="201"/>
      <c r="YC11" s="201"/>
      <c r="YD11" s="201"/>
      <c r="YE11" s="201"/>
      <c r="YF11" s="201"/>
      <c r="YG11" s="201"/>
      <c r="YH11" s="201"/>
      <c r="YI11" s="201"/>
      <c r="YJ11" s="201"/>
      <c r="YK11" s="201"/>
      <c r="YL11" s="201"/>
      <c r="YM11" s="201"/>
      <c r="YN11" s="201"/>
      <c r="YO11" s="201"/>
      <c r="YP11" s="201"/>
      <c r="YQ11" s="201"/>
      <c r="YR11" s="201"/>
      <c r="YS11" s="201"/>
      <c r="YT11" s="201"/>
      <c r="YU11" s="201"/>
      <c r="YV11" s="201"/>
      <c r="YW11" s="201"/>
      <c r="YX11" s="201"/>
      <c r="YY11" s="201"/>
      <c r="YZ11" s="201"/>
      <c r="ZA11" s="201"/>
      <c r="ZB11" s="201"/>
      <c r="ZC11" s="201"/>
      <c r="ZD11" s="201"/>
      <c r="ZE11" s="201"/>
      <c r="ZF11" s="201"/>
      <c r="ZG11" s="201"/>
      <c r="ZH11" s="201"/>
      <c r="ZI11" s="201"/>
      <c r="ZJ11" s="201"/>
      <c r="ZK11" s="201"/>
      <c r="ZL11" s="201"/>
      <c r="ZM11" s="201"/>
      <c r="ZN11" s="201"/>
      <c r="ZO11" s="201"/>
      <c r="ZP11" s="201"/>
      <c r="ZQ11" s="201"/>
      <c r="ZR11" s="201"/>
      <c r="ZS11" s="201"/>
      <c r="ZT11" s="201"/>
      <c r="ZU11" s="201"/>
      <c r="ZV11" s="201"/>
      <c r="ZW11" s="201"/>
    </row>
    <row r="12" spans="1:699" s="214" customFormat="1" ht="15.75" customHeight="1" thickBot="1" x14ac:dyDescent="0.25">
      <c r="A12" s="1121"/>
      <c r="B12" s="1191" t="s">
        <v>832</v>
      </c>
      <c r="C12" s="1192"/>
      <c r="D12" s="1193"/>
      <c r="E12" s="181"/>
      <c r="F12" s="181"/>
      <c r="G12" s="181"/>
      <c r="H12" s="181"/>
      <c r="I12" s="181"/>
      <c r="J12" s="112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E12" s="201"/>
      <c r="DF12" s="201"/>
      <c r="DG12" s="201"/>
      <c r="DH12" s="201"/>
      <c r="DI12" s="201"/>
      <c r="DJ12" s="201"/>
      <c r="DK12" s="201"/>
      <c r="DL12" s="201"/>
      <c r="DM12" s="201"/>
      <c r="DN12" s="201"/>
      <c r="DO12" s="201"/>
      <c r="DP12" s="201"/>
      <c r="DQ12" s="201"/>
      <c r="DR12" s="201"/>
      <c r="DS12" s="201"/>
      <c r="DT12" s="201"/>
      <c r="DU12" s="201"/>
      <c r="DV12" s="201"/>
      <c r="DW12" s="201"/>
      <c r="DX12" s="201"/>
      <c r="DY12" s="201"/>
      <c r="DZ12" s="201"/>
      <c r="EA12" s="201"/>
      <c r="EB12" s="201"/>
      <c r="EC12" s="201"/>
      <c r="ED12" s="201"/>
      <c r="EE12" s="201"/>
      <c r="EF12" s="201"/>
      <c r="EG12" s="201"/>
      <c r="EH12" s="201"/>
      <c r="EI12" s="201"/>
      <c r="EJ12" s="201"/>
      <c r="EK12" s="201"/>
      <c r="EL12" s="201"/>
      <c r="EM12" s="201"/>
      <c r="EN12" s="201"/>
      <c r="EO12" s="201"/>
      <c r="EP12" s="201"/>
      <c r="EQ12" s="201"/>
      <c r="ER12" s="201"/>
      <c r="ES12" s="201"/>
      <c r="ET12" s="201"/>
      <c r="EU12" s="201"/>
      <c r="EV12" s="201"/>
      <c r="EW12" s="201"/>
      <c r="EX12" s="201"/>
      <c r="EY12" s="201"/>
      <c r="EZ12" s="201"/>
      <c r="FA12" s="201"/>
      <c r="FB12" s="201"/>
      <c r="FC12" s="201"/>
      <c r="FD12" s="201"/>
      <c r="FE12" s="201"/>
      <c r="FF12" s="201"/>
      <c r="FG12" s="201"/>
      <c r="FH12" s="201"/>
      <c r="FI12" s="201"/>
      <c r="FJ12" s="201"/>
      <c r="FK12" s="201"/>
      <c r="FL12" s="201"/>
      <c r="FM12" s="201"/>
      <c r="FN12" s="201"/>
      <c r="FO12" s="201"/>
      <c r="FP12" s="201"/>
      <c r="FQ12" s="201"/>
      <c r="FR12" s="201"/>
      <c r="FS12" s="201"/>
      <c r="FT12" s="201"/>
      <c r="FU12" s="201"/>
      <c r="FV12" s="201"/>
      <c r="FW12" s="201"/>
      <c r="FX12" s="201"/>
      <c r="FY12" s="201"/>
      <c r="FZ12" s="201"/>
      <c r="GA12" s="201"/>
      <c r="GB12" s="201"/>
      <c r="GC12" s="201"/>
      <c r="GD12" s="201"/>
      <c r="GE12" s="201"/>
      <c r="GF12" s="201"/>
      <c r="GG12" s="201"/>
      <c r="GH12" s="201"/>
      <c r="GI12" s="201"/>
      <c r="GJ12" s="201"/>
      <c r="GK12" s="201"/>
      <c r="GL12" s="201"/>
      <c r="GM12" s="201"/>
      <c r="GN12" s="201"/>
      <c r="GO12" s="201"/>
      <c r="GP12" s="201"/>
      <c r="GQ12" s="201"/>
      <c r="GR12" s="201"/>
      <c r="GS12" s="201"/>
      <c r="GT12" s="201"/>
      <c r="GU12" s="201"/>
      <c r="GV12" s="201"/>
      <c r="GW12" s="201"/>
      <c r="GX12" s="201"/>
      <c r="GY12" s="201"/>
      <c r="GZ12" s="201"/>
      <c r="HA12" s="201"/>
      <c r="HB12" s="201"/>
      <c r="HC12" s="201"/>
      <c r="HD12" s="201"/>
      <c r="HE12" s="201"/>
      <c r="HF12" s="201"/>
      <c r="HG12" s="201"/>
      <c r="HH12" s="201"/>
      <c r="HI12" s="201"/>
      <c r="HJ12" s="201"/>
      <c r="HK12" s="201"/>
      <c r="HL12" s="201"/>
      <c r="HM12" s="201"/>
      <c r="HN12" s="201"/>
      <c r="HO12" s="201"/>
      <c r="HP12" s="201"/>
      <c r="HQ12" s="201"/>
      <c r="HR12" s="201"/>
      <c r="HS12" s="201"/>
      <c r="HT12" s="201"/>
      <c r="HU12" s="201"/>
      <c r="HV12" s="201"/>
      <c r="HW12" s="201"/>
      <c r="HX12" s="201"/>
      <c r="HY12" s="201"/>
      <c r="HZ12" s="201"/>
      <c r="IA12" s="201"/>
      <c r="IB12" s="201"/>
      <c r="IC12" s="201"/>
      <c r="ID12" s="201"/>
      <c r="IE12" s="201"/>
      <c r="IF12" s="201"/>
      <c r="IG12" s="201"/>
      <c r="IH12" s="201"/>
      <c r="II12" s="201"/>
      <c r="IJ12" s="201"/>
      <c r="IK12" s="201"/>
      <c r="IL12" s="201"/>
      <c r="IM12" s="201"/>
      <c r="IN12" s="201"/>
      <c r="IO12" s="201"/>
      <c r="IP12" s="201"/>
      <c r="IQ12" s="201"/>
      <c r="IR12" s="201"/>
      <c r="IS12" s="201"/>
      <c r="IT12" s="201"/>
      <c r="IU12" s="201"/>
      <c r="IV12" s="201"/>
      <c r="IW12" s="201"/>
      <c r="IX12" s="201"/>
      <c r="IY12" s="201"/>
      <c r="IZ12" s="201"/>
      <c r="JA12" s="201"/>
      <c r="JB12" s="201"/>
      <c r="JC12" s="201"/>
      <c r="JD12" s="201"/>
      <c r="JE12" s="201"/>
      <c r="JF12" s="201"/>
      <c r="JG12" s="201"/>
      <c r="JH12" s="201"/>
      <c r="JI12" s="201"/>
      <c r="JJ12" s="201"/>
      <c r="JK12" s="201"/>
      <c r="JL12" s="201"/>
      <c r="JM12" s="201"/>
      <c r="JN12" s="201"/>
      <c r="JO12" s="201"/>
      <c r="JP12" s="201"/>
      <c r="JQ12" s="201"/>
      <c r="JR12" s="201"/>
      <c r="JS12" s="201"/>
      <c r="JT12" s="201"/>
      <c r="JU12" s="201"/>
      <c r="JV12" s="201"/>
      <c r="JW12" s="201"/>
      <c r="JX12" s="201"/>
      <c r="JY12" s="201"/>
      <c r="JZ12" s="201"/>
      <c r="KA12" s="201"/>
      <c r="KB12" s="201"/>
      <c r="KC12" s="201"/>
      <c r="KD12" s="201"/>
      <c r="KE12" s="201"/>
      <c r="KF12" s="201"/>
      <c r="KG12" s="201"/>
      <c r="KH12" s="201"/>
      <c r="KI12" s="201"/>
      <c r="KJ12" s="201"/>
      <c r="KK12" s="201"/>
      <c r="KL12" s="201"/>
      <c r="KM12" s="201"/>
      <c r="KN12" s="201"/>
      <c r="KO12" s="201"/>
      <c r="KP12" s="201"/>
      <c r="KQ12" s="201"/>
      <c r="KR12" s="201"/>
      <c r="KS12" s="201"/>
      <c r="KT12" s="201"/>
      <c r="KU12" s="201"/>
      <c r="KV12" s="201"/>
      <c r="KW12" s="201"/>
      <c r="KX12" s="201"/>
      <c r="KY12" s="201"/>
      <c r="KZ12" s="201"/>
      <c r="LA12" s="201"/>
      <c r="LB12" s="201"/>
      <c r="LC12" s="201"/>
      <c r="LD12" s="201"/>
      <c r="LE12" s="201"/>
      <c r="LF12" s="201"/>
      <c r="LG12" s="201"/>
      <c r="LH12" s="201"/>
      <c r="LI12" s="201"/>
      <c r="LJ12" s="201"/>
      <c r="LK12" s="201"/>
      <c r="LL12" s="201"/>
      <c r="LM12" s="201"/>
      <c r="LN12" s="201"/>
      <c r="LO12" s="201"/>
      <c r="LP12" s="201"/>
      <c r="LQ12" s="201"/>
      <c r="LR12" s="201"/>
      <c r="LS12" s="201"/>
      <c r="LT12" s="201"/>
      <c r="LU12" s="201"/>
      <c r="LV12" s="201"/>
      <c r="LW12" s="201"/>
      <c r="LX12" s="201"/>
      <c r="LY12" s="201"/>
      <c r="LZ12" s="201"/>
      <c r="MA12" s="201"/>
      <c r="MB12" s="201"/>
      <c r="MC12" s="201"/>
      <c r="MD12" s="201"/>
      <c r="ME12" s="201"/>
      <c r="MF12" s="201"/>
      <c r="MG12" s="201"/>
      <c r="MH12" s="201"/>
      <c r="MI12" s="201"/>
      <c r="MJ12" s="201"/>
      <c r="MK12" s="201"/>
      <c r="ML12" s="201"/>
      <c r="MM12" s="201"/>
      <c r="MN12" s="201"/>
      <c r="MO12" s="201"/>
      <c r="MP12" s="201"/>
      <c r="MQ12" s="201"/>
      <c r="MR12" s="201"/>
      <c r="MS12" s="201"/>
      <c r="MT12" s="201"/>
      <c r="MU12" s="201"/>
      <c r="MV12" s="201"/>
      <c r="MW12" s="201"/>
      <c r="MX12" s="201"/>
      <c r="MY12" s="201"/>
      <c r="MZ12" s="201"/>
      <c r="NA12" s="201"/>
      <c r="NB12" s="201"/>
      <c r="NC12" s="201"/>
      <c r="ND12" s="201"/>
      <c r="NE12" s="201"/>
      <c r="NF12" s="201"/>
      <c r="NG12" s="201"/>
      <c r="NH12" s="201"/>
      <c r="NI12" s="201"/>
      <c r="NJ12" s="201"/>
      <c r="NK12" s="201"/>
      <c r="NL12" s="201"/>
      <c r="NM12" s="201"/>
      <c r="NN12" s="201"/>
      <c r="NO12" s="201"/>
      <c r="NP12" s="201"/>
      <c r="NQ12" s="201"/>
      <c r="NR12" s="201"/>
      <c r="NS12" s="201"/>
      <c r="NT12" s="201"/>
      <c r="NU12" s="201"/>
      <c r="NV12" s="201"/>
      <c r="NW12" s="201"/>
      <c r="NX12" s="201"/>
      <c r="NY12" s="201"/>
      <c r="NZ12" s="201"/>
      <c r="OA12" s="201"/>
      <c r="OB12" s="201"/>
      <c r="OC12" s="201"/>
      <c r="OD12" s="201"/>
      <c r="OE12" s="201"/>
      <c r="OF12" s="201"/>
      <c r="OG12" s="201"/>
      <c r="OH12" s="201"/>
      <c r="OI12" s="201"/>
      <c r="OJ12" s="201"/>
      <c r="OK12" s="201"/>
      <c r="OL12" s="201"/>
      <c r="OM12" s="201"/>
      <c r="ON12" s="201"/>
      <c r="OO12" s="201"/>
      <c r="OP12" s="201"/>
      <c r="OQ12" s="201"/>
      <c r="OR12" s="201"/>
      <c r="OS12" s="201"/>
      <c r="OT12" s="201"/>
      <c r="OU12" s="201"/>
      <c r="OV12" s="201"/>
      <c r="OW12" s="201"/>
      <c r="OX12" s="201"/>
      <c r="OY12" s="201"/>
      <c r="OZ12" s="201"/>
      <c r="PA12" s="201"/>
      <c r="PB12" s="201"/>
      <c r="PC12" s="201"/>
      <c r="PD12" s="201"/>
      <c r="PE12" s="201"/>
      <c r="PF12" s="201"/>
      <c r="PG12" s="201"/>
      <c r="PH12" s="201"/>
      <c r="PI12" s="201"/>
      <c r="PJ12" s="201"/>
      <c r="PK12" s="201"/>
      <c r="PL12" s="201"/>
      <c r="PM12" s="201"/>
      <c r="PN12" s="201"/>
      <c r="PO12" s="201"/>
      <c r="PP12" s="201"/>
      <c r="PQ12" s="201"/>
      <c r="PR12" s="201"/>
      <c r="PS12" s="201"/>
      <c r="PT12" s="201"/>
      <c r="PU12" s="201"/>
      <c r="PV12" s="201"/>
      <c r="PW12" s="201"/>
      <c r="PX12" s="201"/>
      <c r="PY12" s="201"/>
      <c r="PZ12" s="201"/>
      <c r="QA12" s="201"/>
      <c r="QB12" s="201"/>
      <c r="QC12" s="201"/>
      <c r="QD12" s="201"/>
      <c r="QE12" s="201"/>
      <c r="QF12" s="201"/>
      <c r="QG12" s="201"/>
      <c r="QH12" s="201"/>
      <c r="QI12" s="201"/>
      <c r="QJ12" s="201"/>
      <c r="QK12" s="201"/>
      <c r="QL12" s="201"/>
      <c r="QM12" s="201"/>
      <c r="QN12" s="201"/>
      <c r="QO12" s="201"/>
      <c r="QP12" s="201"/>
      <c r="QQ12" s="201"/>
      <c r="QR12" s="201"/>
      <c r="QS12" s="201"/>
      <c r="QT12" s="201"/>
      <c r="QU12" s="201"/>
      <c r="QV12" s="201"/>
      <c r="QW12" s="201"/>
      <c r="QX12" s="201"/>
      <c r="QY12" s="201"/>
      <c r="QZ12" s="201"/>
      <c r="RA12" s="201"/>
      <c r="RB12" s="201"/>
      <c r="RC12" s="201"/>
      <c r="RD12" s="201"/>
      <c r="RE12" s="201"/>
      <c r="RF12" s="201"/>
      <c r="RG12" s="201"/>
      <c r="RH12" s="201"/>
      <c r="RI12" s="201"/>
      <c r="RJ12" s="201"/>
      <c r="RK12" s="201"/>
      <c r="RL12" s="201"/>
      <c r="RM12" s="201"/>
      <c r="RN12" s="201"/>
      <c r="RO12" s="201"/>
      <c r="RP12" s="201"/>
      <c r="RQ12" s="201"/>
      <c r="RR12" s="201"/>
      <c r="RS12" s="201"/>
      <c r="RT12" s="201"/>
      <c r="RU12" s="201"/>
      <c r="RV12" s="201"/>
      <c r="RW12" s="201"/>
      <c r="RX12" s="201"/>
      <c r="RY12" s="201"/>
      <c r="RZ12" s="201"/>
      <c r="SA12" s="201"/>
      <c r="SB12" s="201"/>
      <c r="SC12" s="201"/>
      <c r="SD12" s="201"/>
      <c r="SE12" s="201"/>
      <c r="SF12" s="201"/>
      <c r="SG12" s="201"/>
      <c r="SH12" s="201"/>
      <c r="SI12" s="201"/>
      <c r="SJ12" s="201"/>
      <c r="SK12" s="201"/>
      <c r="SL12" s="201"/>
      <c r="SM12" s="201"/>
      <c r="SN12" s="201"/>
      <c r="SO12" s="201"/>
      <c r="SP12" s="201"/>
      <c r="SQ12" s="201"/>
      <c r="SR12" s="201"/>
      <c r="SS12" s="201"/>
      <c r="ST12" s="201"/>
      <c r="SU12" s="201"/>
      <c r="SV12" s="201"/>
      <c r="SW12" s="201"/>
      <c r="SX12" s="201"/>
      <c r="SY12" s="201"/>
      <c r="SZ12" s="201"/>
      <c r="TA12" s="201"/>
      <c r="TB12" s="201"/>
      <c r="TC12" s="201"/>
      <c r="TD12" s="201"/>
      <c r="TE12" s="201"/>
      <c r="TF12" s="201"/>
      <c r="TG12" s="201"/>
      <c r="TH12" s="201"/>
      <c r="TI12" s="201"/>
      <c r="TJ12" s="201"/>
      <c r="TK12" s="201"/>
      <c r="TL12" s="201"/>
      <c r="TM12" s="201"/>
      <c r="TN12" s="201"/>
      <c r="TO12" s="201"/>
      <c r="TP12" s="201"/>
      <c r="TQ12" s="201"/>
      <c r="TR12" s="201"/>
      <c r="TS12" s="201"/>
      <c r="TT12" s="201"/>
      <c r="TU12" s="201"/>
      <c r="TV12" s="201"/>
      <c r="TW12" s="201"/>
      <c r="TX12" s="201"/>
      <c r="TY12" s="201"/>
      <c r="TZ12" s="201"/>
      <c r="UA12" s="201"/>
      <c r="UB12" s="201"/>
      <c r="UC12" s="201"/>
      <c r="UD12" s="201"/>
      <c r="UE12" s="201"/>
      <c r="UF12" s="201"/>
      <c r="UG12" s="201"/>
      <c r="UH12" s="201"/>
      <c r="UI12" s="201"/>
      <c r="UJ12" s="201"/>
      <c r="UK12" s="201"/>
      <c r="UL12" s="201"/>
      <c r="UM12" s="201"/>
      <c r="UN12" s="201"/>
      <c r="UO12" s="201"/>
      <c r="UP12" s="201"/>
      <c r="UQ12" s="201"/>
      <c r="UR12" s="201"/>
      <c r="US12" s="201"/>
      <c r="UT12" s="201"/>
      <c r="UU12" s="201"/>
      <c r="UV12" s="201"/>
      <c r="UW12" s="201"/>
      <c r="UX12" s="201"/>
      <c r="UY12" s="201"/>
      <c r="UZ12" s="201"/>
      <c r="VA12" s="201"/>
      <c r="VB12" s="201"/>
      <c r="VC12" s="201"/>
      <c r="VD12" s="201"/>
      <c r="VE12" s="201"/>
      <c r="VF12" s="201"/>
      <c r="VG12" s="201"/>
      <c r="VH12" s="201"/>
      <c r="VI12" s="201"/>
      <c r="VJ12" s="201"/>
      <c r="VK12" s="201"/>
      <c r="VL12" s="201"/>
      <c r="VM12" s="201"/>
      <c r="VN12" s="201"/>
      <c r="VO12" s="201"/>
      <c r="VP12" s="201"/>
      <c r="VQ12" s="201"/>
      <c r="VR12" s="201"/>
      <c r="VS12" s="201"/>
      <c r="VT12" s="201"/>
      <c r="VU12" s="201"/>
      <c r="VV12" s="201"/>
      <c r="VW12" s="201"/>
      <c r="VX12" s="201"/>
      <c r="VY12" s="201"/>
      <c r="VZ12" s="201"/>
      <c r="WA12" s="201"/>
      <c r="WB12" s="201"/>
      <c r="WC12" s="201"/>
      <c r="WD12" s="201"/>
      <c r="WE12" s="201"/>
      <c r="WF12" s="201"/>
      <c r="WG12" s="201"/>
      <c r="WH12" s="201"/>
      <c r="WI12" s="201"/>
      <c r="WJ12" s="201"/>
      <c r="WK12" s="201"/>
      <c r="WL12" s="201"/>
      <c r="WM12" s="201"/>
      <c r="WN12" s="201"/>
      <c r="WO12" s="201"/>
      <c r="WP12" s="201"/>
      <c r="WQ12" s="201"/>
      <c r="WR12" s="201"/>
      <c r="WS12" s="201"/>
      <c r="WT12" s="201"/>
      <c r="WU12" s="201"/>
      <c r="WV12" s="201"/>
      <c r="WW12" s="201"/>
      <c r="WX12" s="201"/>
      <c r="WY12" s="201"/>
      <c r="WZ12" s="201"/>
      <c r="XA12" s="201"/>
      <c r="XB12" s="201"/>
      <c r="XC12" s="201"/>
      <c r="XD12" s="201"/>
      <c r="XE12" s="201"/>
      <c r="XF12" s="201"/>
      <c r="XG12" s="201"/>
      <c r="XH12" s="201"/>
      <c r="XI12" s="201"/>
      <c r="XJ12" s="201"/>
      <c r="XK12" s="201"/>
      <c r="XL12" s="201"/>
      <c r="XM12" s="201"/>
      <c r="XN12" s="201"/>
      <c r="XO12" s="201"/>
      <c r="XP12" s="201"/>
      <c r="XQ12" s="201"/>
      <c r="XR12" s="201"/>
      <c r="XS12" s="201"/>
      <c r="XT12" s="201"/>
      <c r="XU12" s="201"/>
      <c r="XV12" s="201"/>
      <c r="XW12" s="201"/>
      <c r="XX12" s="201"/>
      <c r="XY12" s="201"/>
      <c r="XZ12" s="201"/>
      <c r="YA12" s="201"/>
      <c r="YB12" s="201"/>
      <c r="YC12" s="201"/>
      <c r="YD12" s="201"/>
      <c r="YE12" s="201"/>
      <c r="YF12" s="201"/>
      <c r="YG12" s="201"/>
      <c r="YH12" s="201"/>
      <c r="YI12" s="201"/>
      <c r="YJ12" s="201"/>
      <c r="YK12" s="201"/>
      <c r="YL12" s="201"/>
      <c r="YM12" s="201"/>
      <c r="YN12" s="201"/>
      <c r="YO12" s="201"/>
      <c r="YP12" s="201"/>
      <c r="YQ12" s="201"/>
      <c r="YR12" s="201"/>
      <c r="YS12" s="201"/>
      <c r="YT12" s="201"/>
      <c r="YU12" s="201"/>
      <c r="YV12" s="201"/>
      <c r="YW12" s="201"/>
      <c r="YX12" s="201"/>
      <c r="YY12" s="201"/>
      <c r="YZ12" s="201"/>
      <c r="ZA12" s="201"/>
      <c r="ZB12" s="201"/>
      <c r="ZC12" s="201"/>
      <c r="ZD12" s="201"/>
      <c r="ZE12" s="201"/>
      <c r="ZF12" s="201"/>
      <c r="ZG12" s="201"/>
      <c r="ZH12" s="201"/>
      <c r="ZI12" s="201"/>
      <c r="ZJ12" s="201"/>
      <c r="ZK12" s="201"/>
      <c r="ZL12" s="201"/>
      <c r="ZM12" s="201"/>
      <c r="ZN12" s="201"/>
      <c r="ZO12" s="201"/>
      <c r="ZP12" s="201"/>
      <c r="ZQ12" s="201"/>
      <c r="ZR12" s="201"/>
      <c r="ZS12" s="201"/>
      <c r="ZT12" s="201"/>
      <c r="ZU12" s="201"/>
      <c r="ZV12" s="201"/>
      <c r="ZW12" s="201"/>
    </row>
    <row r="13" spans="1:699" ht="15.75" customHeight="1" x14ac:dyDescent="0.2">
      <c r="A13" s="1121"/>
      <c r="B13" s="1138">
        <v>725</v>
      </c>
      <c r="C13" s="1139" t="s">
        <v>833</v>
      </c>
      <c r="D13" s="1140"/>
      <c r="E13" s="181"/>
      <c r="F13" s="181"/>
      <c r="G13" s="181"/>
      <c r="H13" s="181"/>
      <c r="I13" s="181"/>
      <c r="J13" s="112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row>
    <row r="14" spans="1:699" ht="15.75" customHeight="1" x14ac:dyDescent="0.2">
      <c r="A14" s="1121"/>
      <c r="B14" s="1141">
        <v>6.2E-2</v>
      </c>
      <c r="C14" s="1142" t="s">
        <v>834</v>
      </c>
      <c r="D14" s="1143"/>
      <c r="E14" s="181"/>
      <c r="F14" s="181"/>
      <c r="G14" s="181"/>
      <c r="H14" s="181"/>
      <c r="I14" s="181"/>
      <c r="J14" s="112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row>
    <row r="15" spans="1:699" ht="15.75" customHeight="1" x14ac:dyDescent="0.2">
      <c r="A15" s="1144"/>
      <c r="B15" s="1141">
        <v>7.0000000000000007E-2</v>
      </c>
      <c r="C15" s="1142" t="s">
        <v>835</v>
      </c>
      <c r="D15" s="1143"/>
      <c r="E15" s="181"/>
      <c r="F15" s="1145"/>
      <c r="G15" s="1145"/>
      <c r="H15" s="1145"/>
      <c r="I15" s="1145"/>
      <c r="J15" s="1130"/>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214"/>
      <c r="CV15" s="214"/>
      <c r="CW15" s="214"/>
      <c r="CX15" s="214"/>
      <c r="CY15" s="214"/>
      <c r="CZ15" s="214"/>
      <c r="DA15" s="214"/>
      <c r="DB15" s="214"/>
      <c r="DC15" s="214"/>
      <c r="DD15" s="214"/>
      <c r="DE15" s="214"/>
      <c r="DF15" s="214"/>
      <c r="DG15" s="214"/>
      <c r="DH15" s="214"/>
      <c r="DI15" s="214"/>
      <c r="DJ15" s="214"/>
      <c r="DK15" s="214"/>
      <c r="DL15" s="214"/>
      <c r="DM15" s="214"/>
      <c r="DN15" s="214"/>
      <c r="DO15" s="214"/>
      <c r="DP15" s="214"/>
      <c r="DQ15" s="214"/>
      <c r="DR15" s="214"/>
      <c r="DS15" s="214"/>
      <c r="DT15" s="214"/>
      <c r="DU15" s="214"/>
      <c r="DV15" s="214"/>
      <c r="DW15" s="214"/>
      <c r="DX15" s="214"/>
      <c r="DY15" s="214"/>
      <c r="DZ15" s="214"/>
      <c r="EA15" s="214"/>
      <c r="EB15" s="214"/>
      <c r="EC15" s="214"/>
      <c r="ED15" s="214"/>
      <c r="EE15" s="214"/>
      <c r="EF15" s="214"/>
      <c r="EG15" s="214"/>
      <c r="EH15" s="214"/>
      <c r="EI15" s="214"/>
      <c r="EJ15" s="214"/>
      <c r="EK15" s="214"/>
      <c r="EL15" s="214"/>
      <c r="EM15" s="214"/>
      <c r="EN15" s="214"/>
      <c r="EO15" s="214"/>
      <c r="EP15" s="214"/>
      <c r="EQ15" s="214"/>
      <c r="ER15" s="214"/>
      <c r="ES15" s="214"/>
      <c r="ET15" s="214"/>
      <c r="EU15" s="214"/>
      <c r="EV15" s="214"/>
      <c r="EW15" s="214"/>
      <c r="EX15" s="214"/>
      <c r="EY15" s="214"/>
      <c r="EZ15" s="214"/>
      <c r="FA15" s="214"/>
      <c r="FB15" s="214"/>
      <c r="FC15" s="214"/>
      <c r="FD15" s="214"/>
      <c r="FE15" s="214"/>
      <c r="FF15" s="214"/>
      <c r="FG15" s="214"/>
      <c r="FH15" s="214"/>
      <c r="FI15" s="214"/>
      <c r="FJ15" s="214"/>
      <c r="FK15" s="214"/>
      <c r="FL15" s="214"/>
      <c r="FM15" s="214"/>
      <c r="FN15" s="214"/>
      <c r="FO15" s="214"/>
      <c r="FP15" s="214"/>
      <c r="FQ15" s="214"/>
      <c r="FR15" s="214"/>
      <c r="FS15" s="214"/>
      <c r="FT15" s="214"/>
      <c r="FU15" s="214"/>
      <c r="FV15" s="214"/>
      <c r="FW15" s="214"/>
      <c r="FX15" s="214"/>
      <c r="FY15" s="214"/>
      <c r="FZ15" s="214"/>
      <c r="GA15" s="214"/>
      <c r="GB15" s="214"/>
      <c r="GC15" s="214"/>
      <c r="GD15" s="214"/>
      <c r="GE15" s="214"/>
      <c r="GF15" s="214"/>
      <c r="GG15" s="214"/>
      <c r="GH15" s="214"/>
      <c r="GI15" s="214"/>
      <c r="GJ15" s="214"/>
      <c r="GK15" s="214"/>
      <c r="GL15" s="214"/>
      <c r="GM15" s="214"/>
      <c r="GN15" s="214"/>
      <c r="GO15" s="214"/>
      <c r="GP15" s="214"/>
      <c r="GQ15" s="214"/>
      <c r="GR15" s="214"/>
      <c r="GS15" s="214"/>
      <c r="GT15" s="214"/>
      <c r="GU15" s="214"/>
      <c r="GV15" s="214"/>
      <c r="GW15" s="214"/>
      <c r="GX15" s="214"/>
      <c r="GY15" s="214"/>
      <c r="GZ15" s="214"/>
      <c r="HA15" s="214"/>
      <c r="HB15" s="214"/>
      <c r="HC15" s="214"/>
      <c r="HD15" s="214"/>
      <c r="HE15" s="214"/>
      <c r="HF15" s="214"/>
      <c r="HG15" s="214"/>
      <c r="HH15" s="214"/>
      <c r="HI15" s="214"/>
      <c r="HJ15" s="214"/>
      <c r="HK15" s="214"/>
      <c r="HL15" s="214"/>
      <c r="HM15" s="214"/>
      <c r="HN15" s="214"/>
      <c r="HO15" s="214"/>
      <c r="HP15" s="214"/>
      <c r="HQ15" s="214"/>
      <c r="HR15" s="214"/>
      <c r="HS15" s="214"/>
      <c r="HT15" s="214"/>
      <c r="HU15" s="214"/>
      <c r="HV15" s="214"/>
      <c r="HW15" s="214"/>
      <c r="HX15" s="214"/>
      <c r="HY15" s="214"/>
      <c r="HZ15" s="214"/>
      <c r="IA15" s="214"/>
      <c r="IB15" s="214"/>
      <c r="IC15" s="214"/>
      <c r="ID15" s="214"/>
      <c r="IE15" s="214"/>
      <c r="IF15" s="214"/>
      <c r="IG15" s="214"/>
      <c r="IH15" s="214"/>
      <c r="II15" s="214"/>
      <c r="IJ15" s="214"/>
      <c r="IK15" s="214"/>
      <c r="IL15" s="214"/>
      <c r="IM15" s="214"/>
      <c r="IN15" s="214"/>
      <c r="IO15" s="214"/>
      <c r="IP15" s="214"/>
      <c r="IQ15" s="214"/>
      <c r="IR15" s="214"/>
      <c r="IS15" s="214"/>
      <c r="IT15" s="214"/>
      <c r="IU15" s="214"/>
      <c r="IV15" s="214"/>
      <c r="IW15" s="214"/>
      <c r="IX15" s="214"/>
      <c r="IY15" s="214"/>
      <c r="IZ15" s="214"/>
      <c r="JA15" s="214"/>
      <c r="JB15" s="214"/>
      <c r="JC15" s="214"/>
      <c r="JD15" s="214"/>
      <c r="JE15" s="214"/>
      <c r="JF15" s="214"/>
      <c r="JG15" s="214"/>
      <c r="JH15" s="214"/>
      <c r="JI15" s="214"/>
      <c r="JJ15" s="214"/>
      <c r="JK15" s="214"/>
      <c r="JL15" s="214"/>
      <c r="JM15" s="214"/>
      <c r="JN15" s="214"/>
      <c r="JO15" s="214"/>
      <c r="JP15" s="214"/>
      <c r="JQ15" s="214"/>
      <c r="JR15" s="214"/>
      <c r="JS15" s="214"/>
      <c r="JT15" s="214"/>
      <c r="JU15" s="214"/>
      <c r="JV15" s="214"/>
      <c r="JW15" s="214"/>
      <c r="JX15" s="214"/>
      <c r="JY15" s="214"/>
      <c r="JZ15" s="214"/>
      <c r="KA15" s="214"/>
      <c r="KB15" s="214"/>
      <c r="KC15" s="214"/>
      <c r="KD15" s="214"/>
      <c r="KE15" s="214"/>
      <c r="KF15" s="214"/>
      <c r="KG15" s="214"/>
      <c r="KH15" s="214"/>
      <c r="KI15" s="214"/>
      <c r="KJ15" s="214"/>
      <c r="KK15" s="214"/>
      <c r="KL15" s="214"/>
      <c r="KM15" s="214"/>
      <c r="KN15" s="214"/>
      <c r="KO15" s="214"/>
      <c r="KP15" s="214"/>
      <c r="KQ15" s="214"/>
      <c r="KR15" s="214"/>
      <c r="KS15" s="214"/>
      <c r="KT15" s="214"/>
      <c r="KU15" s="214"/>
      <c r="KV15" s="214"/>
      <c r="KW15" s="214"/>
      <c r="KX15" s="214"/>
      <c r="KY15" s="214"/>
      <c r="KZ15" s="214"/>
      <c r="LA15" s="214"/>
      <c r="LB15" s="214"/>
      <c r="LC15" s="214"/>
      <c r="LD15" s="214"/>
      <c r="LE15" s="214"/>
      <c r="LF15" s="214"/>
      <c r="LG15" s="214"/>
      <c r="LH15" s="214"/>
      <c r="LI15" s="214"/>
      <c r="LJ15" s="214"/>
      <c r="LK15" s="214"/>
      <c r="LL15" s="214"/>
      <c r="LM15" s="214"/>
      <c r="LN15" s="214"/>
      <c r="LO15" s="214"/>
      <c r="LP15" s="214"/>
      <c r="LQ15" s="214"/>
      <c r="LR15" s="214"/>
      <c r="LS15" s="214"/>
      <c r="LT15" s="214"/>
      <c r="LU15" s="214"/>
      <c r="LV15" s="214"/>
      <c r="LW15" s="214"/>
      <c r="LX15" s="214"/>
      <c r="LY15" s="214"/>
      <c r="LZ15" s="214"/>
      <c r="MA15" s="214"/>
      <c r="MB15" s="214"/>
      <c r="MC15" s="214"/>
      <c r="MD15" s="214"/>
      <c r="ME15" s="214"/>
      <c r="MF15" s="214"/>
      <c r="MG15" s="214"/>
      <c r="MH15" s="214"/>
      <c r="MI15" s="214"/>
      <c r="MJ15" s="214"/>
      <c r="MK15" s="214"/>
      <c r="ML15" s="214"/>
      <c r="MM15" s="214"/>
      <c r="MN15" s="214"/>
      <c r="MO15" s="214"/>
      <c r="MP15" s="214"/>
      <c r="MQ15" s="214"/>
      <c r="MR15" s="214"/>
      <c r="MS15" s="214"/>
      <c r="MT15" s="214"/>
      <c r="MU15" s="214"/>
      <c r="MV15" s="214"/>
      <c r="MW15" s="214"/>
      <c r="MX15" s="214"/>
      <c r="MY15" s="214"/>
      <c r="MZ15" s="214"/>
      <c r="NA15" s="214"/>
      <c r="NB15" s="214"/>
      <c r="NC15" s="214"/>
      <c r="ND15" s="214"/>
      <c r="NE15" s="214"/>
      <c r="NF15" s="214"/>
      <c r="NG15" s="214"/>
      <c r="NH15" s="214"/>
      <c r="NI15" s="214"/>
      <c r="NJ15" s="214"/>
      <c r="NK15" s="214"/>
      <c r="NL15" s="214"/>
      <c r="NM15" s="214"/>
      <c r="NN15" s="214"/>
      <c r="NO15" s="214"/>
      <c r="NP15" s="214"/>
      <c r="NQ15" s="214"/>
      <c r="NR15" s="214"/>
      <c r="NS15" s="214"/>
      <c r="NT15" s="214"/>
      <c r="NU15" s="214"/>
      <c r="NV15" s="214"/>
      <c r="NW15" s="214"/>
      <c r="NX15" s="214"/>
      <c r="NY15" s="214"/>
      <c r="NZ15" s="214"/>
      <c r="OA15" s="214"/>
      <c r="OB15" s="214"/>
      <c r="OC15" s="214"/>
      <c r="OD15" s="214"/>
      <c r="OE15" s="214"/>
      <c r="OF15" s="214"/>
      <c r="OG15" s="214"/>
      <c r="OH15" s="214"/>
      <c r="OI15" s="214"/>
      <c r="OJ15" s="214"/>
      <c r="OK15" s="214"/>
      <c r="OL15" s="214"/>
      <c r="OM15" s="214"/>
      <c r="ON15" s="214"/>
      <c r="OO15" s="214"/>
      <c r="OP15" s="214"/>
      <c r="OQ15" s="214"/>
      <c r="OR15" s="214"/>
      <c r="OS15" s="214"/>
      <c r="OT15" s="214"/>
      <c r="OU15" s="214"/>
      <c r="OV15" s="214"/>
      <c r="OW15" s="214"/>
      <c r="OX15" s="214"/>
      <c r="OY15" s="214"/>
      <c r="OZ15" s="214"/>
      <c r="PA15" s="214"/>
      <c r="PB15" s="214"/>
      <c r="PC15" s="214"/>
      <c r="PD15" s="214"/>
      <c r="PE15" s="214"/>
      <c r="PF15" s="214"/>
      <c r="PG15" s="214"/>
      <c r="PH15" s="214"/>
      <c r="PI15" s="214"/>
      <c r="PJ15" s="214"/>
      <c r="PK15" s="214"/>
      <c r="PL15" s="214"/>
      <c r="PM15" s="214"/>
      <c r="PN15" s="214"/>
      <c r="PO15" s="214"/>
      <c r="PP15" s="214"/>
      <c r="PQ15" s="214"/>
      <c r="PR15" s="214"/>
      <c r="PS15" s="214"/>
      <c r="PT15" s="214"/>
      <c r="PU15" s="214"/>
      <c r="PV15" s="214"/>
      <c r="PW15" s="214"/>
      <c r="PX15" s="214"/>
      <c r="PY15" s="214"/>
      <c r="PZ15" s="214"/>
      <c r="QA15" s="214"/>
      <c r="QB15" s="214"/>
      <c r="QC15" s="214"/>
      <c r="QD15" s="214"/>
      <c r="QE15" s="214"/>
      <c r="QF15" s="214"/>
      <c r="QG15" s="214"/>
      <c r="QH15" s="214"/>
      <c r="QI15" s="214"/>
      <c r="QJ15" s="214"/>
      <c r="QK15" s="214"/>
      <c r="QL15" s="214"/>
      <c r="QM15" s="214"/>
      <c r="QN15" s="214"/>
      <c r="QO15" s="214"/>
      <c r="QP15" s="214"/>
      <c r="QQ15" s="214"/>
      <c r="QR15" s="214"/>
      <c r="QS15" s="214"/>
      <c r="QT15" s="214"/>
      <c r="QU15" s="214"/>
      <c r="QV15" s="214"/>
      <c r="QW15" s="214"/>
      <c r="QX15" s="214"/>
      <c r="QY15" s="214"/>
      <c r="QZ15" s="214"/>
      <c r="RA15" s="214"/>
      <c r="RB15" s="214"/>
      <c r="RC15" s="214"/>
      <c r="RD15" s="214"/>
      <c r="RE15" s="214"/>
      <c r="RF15" s="214"/>
      <c r="RG15" s="214"/>
      <c r="RH15" s="214"/>
      <c r="RI15" s="214"/>
      <c r="RJ15" s="214"/>
      <c r="RK15" s="214"/>
      <c r="RL15" s="214"/>
      <c r="RM15" s="214"/>
      <c r="RN15" s="214"/>
      <c r="RO15" s="214"/>
      <c r="RP15" s="214"/>
      <c r="RQ15" s="214"/>
      <c r="RR15" s="214"/>
      <c r="RS15" s="214"/>
      <c r="RT15" s="214"/>
      <c r="RU15" s="214"/>
      <c r="RV15" s="214"/>
      <c r="RW15" s="214"/>
      <c r="RX15" s="214"/>
      <c r="RY15" s="214"/>
      <c r="RZ15" s="214"/>
      <c r="SA15" s="214"/>
      <c r="SB15" s="214"/>
      <c r="SC15" s="214"/>
      <c r="SD15" s="214"/>
      <c r="SE15" s="214"/>
      <c r="SF15" s="214"/>
      <c r="SG15" s="214"/>
      <c r="SH15" s="214"/>
      <c r="SI15" s="214"/>
      <c r="SJ15" s="214"/>
      <c r="SK15" s="214"/>
      <c r="SL15" s="214"/>
      <c r="SM15" s="214"/>
      <c r="SN15" s="214"/>
      <c r="SO15" s="214"/>
      <c r="SP15" s="214"/>
      <c r="SQ15" s="214"/>
      <c r="SR15" s="214"/>
      <c r="SS15" s="214"/>
      <c r="ST15" s="214"/>
      <c r="SU15" s="214"/>
      <c r="SV15" s="214"/>
      <c r="SW15" s="214"/>
      <c r="SX15" s="214"/>
      <c r="SY15" s="214"/>
      <c r="SZ15" s="214"/>
      <c r="TA15" s="214"/>
      <c r="TB15" s="214"/>
      <c r="TC15" s="214"/>
      <c r="TD15" s="214"/>
      <c r="TE15" s="214"/>
      <c r="TF15" s="214"/>
      <c r="TG15" s="214"/>
      <c r="TH15" s="214"/>
      <c r="TI15" s="214"/>
      <c r="TJ15" s="214"/>
      <c r="TK15" s="214"/>
      <c r="TL15" s="214"/>
      <c r="TM15" s="214"/>
      <c r="TN15" s="214"/>
      <c r="TO15" s="214"/>
      <c r="TP15" s="214"/>
      <c r="TQ15" s="214"/>
      <c r="TR15" s="214"/>
      <c r="TS15" s="214"/>
      <c r="TT15" s="214"/>
      <c r="TU15" s="214"/>
      <c r="TV15" s="214"/>
      <c r="TW15" s="214"/>
      <c r="TX15" s="214"/>
      <c r="TY15" s="214"/>
      <c r="TZ15" s="214"/>
      <c r="UA15" s="214"/>
      <c r="UB15" s="214"/>
      <c r="UC15" s="214"/>
      <c r="UD15" s="214"/>
      <c r="UE15" s="214"/>
      <c r="UF15" s="214"/>
      <c r="UG15" s="214"/>
      <c r="UH15" s="214"/>
      <c r="UI15" s="214"/>
      <c r="UJ15" s="214"/>
      <c r="UK15" s="214"/>
      <c r="UL15" s="214"/>
      <c r="UM15" s="214"/>
      <c r="UN15" s="214"/>
      <c r="UO15" s="214"/>
      <c r="UP15" s="214"/>
      <c r="UQ15" s="214"/>
      <c r="UR15" s="214"/>
      <c r="US15" s="214"/>
      <c r="UT15" s="214"/>
      <c r="UU15" s="214"/>
      <c r="UV15" s="214"/>
      <c r="UW15" s="214"/>
      <c r="UX15" s="214"/>
      <c r="UY15" s="214"/>
      <c r="UZ15" s="214"/>
      <c r="VA15" s="214"/>
      <c r="VB15" s="214"/>
      <c r="VC15" s="214"/>
      <c r="VD15" s="214"/>
      <c r="VE15" s="214"/>
      <c r="VF15" s="214"/>
      <c r="VG15" s="214"/>
      <c r="VH15" s="214"/>
      <c r="VI15" s="214"/>
      <c r="VJ15" s="214"/>
      <c r="VK15" s="214"/>
      <c r="VL15" s="214"/>
      <c r="VM15" s="214"/>
      <c r="VN15" s="214"/>
      <c r="VO15" s="214"/>
      <c r="VP15" s="214"/>
      <c r="VQ15" s="214"/>
      <c r="VR15" s="214"/>
      <c r="VS15" s="214"/>
      <c r="VT15" s="214"/>
      <c r="VU15" s="214"/>
      <c r="VV15" s="214"/>
      <c r="VW15" s="214"/>
      <c r="VX15" s="214"/>
      <c r="VY15" s="214"/>
      <c r="VZ15" s="214"/>
      <c r="WA15" s="214"/>
      <c r="WB15" s="214"/>
      <c r="WC15" s="214"/>
      <c r="WD15" s="214"/>
      <c r="WE15" s="214"/>
      <c r="WF15" s="214"/>
      <c r="WG15" s="214"/>
      <c r="WH15" s="214"/>
      <c r="WI15" s="214"/>
      <c r="WJ15" s="214"/>
      <c r="WK15" s="214"/>
      <c r="WL15" s="214"/>
      <c r="WM15" s="214"/>
      <c r="WN15" s="214"/>
      <c r="WO15" s="214"/>
      <c r="WP15" s="214"/>
      <c r="WQ15" s="214"/>
      <c r="WR15" s="214"/>
      <c r="WS15" s="214"/>
      <c r="WT15" s="214"/>
      <c r="WU15" s="214"/>
      <c r="WV15" s="214"/>
      <c r="WW15" s="214"/>
      <c r="WX15" s="214"/>
      <c r="WY15" s="214"/>
      <c r="WZ15" s="214"/>
      <c r="XA15" s="214"/>
      <c r="XB15" s="214"/>
      <c r="XC15" s="214"/>
      <c r="XD15" s="214"/>
      <c r="XE15" s="214"/>
      <c r="XF15" s="214"/>
      <c r="XG15" s="214"/>
      <c r="XH15" s="214"/>
      <c r="XI15" s="214"/>
      <c r="XJ15" s="214"/>
      <c r="XK15" s="214"/>
      <c r="XL15" s="214"/>
      <c r="XM15" s="214"/>
      <c r="XN15" s="214"/>
      <c r="XO15" s="214"/>
      <c r="XP15" s="214"/>
      <c r="XQ15" s="214"/>
      <c r="XR15" s="214"/>
      <c r="XS15" s="214"/>
      <c r="XT15" s="214"/>
      <c r="XU15" s="214"/>
      <c r="XV15" s="214"/>
      <c r="XW15" s="214"/>
      <c r="XX15" s="214"/>
      <c r="XY15" s="214"/>
      <c r="XZ15" s="214"/>
      <c r="YA15" s="214"/>
      <c r="YB15" s="214"/>
      <c r="YC15" s="214"/>
      <c r="YD15" s="214"/>
      <c r="YE15" s="214"/>
      <c r="YF15" s="214"/>
      <c r="YG15" s="214"/>
      <c r="YH15" s="214"/>
      <c r="YI15" s="214"/>
      <c r="YJ15" s="214"/>
      <c r="YK15" s="214"/>
      <c r="YL15" s="214"/>
      <c r="YM15" s="214"/>
      <c r="YN15" s="214"/>
      <c r="YO15" s="214"/>
      <c r="YP15" s="214"/>
      <c r="YQ15" s="214"/>
      <c r="YR15" s="214"/>
      <c r="YS15" s="214"/>
      <c r="YT15" s="214"/>
      <c r="YU15" s="214"/>
      <c r="YV15" s="214"/>
      <c r="YW15" s="214"/>
      <c r="YX15" s="214"/>
      <c r="YY15" s="214"/>
      <c r="YZ15" s="214"/>
      <c r="ZA15" s="214"/>
      <c r="ZB15" s="214"/>
      <c r="ZC15" s="214"/>
      <c r="ZD15" s="214"/>
      <c r="ZE15" s="214"/>
      <c r="ZF15" s="214"/>
      <c r="ZG15" s="214"/>
      <c r="ZH15" s="214"/>
      <c r="ZI15" s="214"/>
      <c r="ZJ15" s="214"/>
      <c r="ZK15" s="214"/>
      <c r="ZL15" s="214"/>
      <c r="ZM15" s="214"/>
      <c r="ZN15" s="214"/>
      <c r="ZO15" s="214"/>
      <c r="ZP15" s="214"/>
      <c r="ZQ15" s="214"/>
      <c r="ZR15" s="214"/>
      <c r="ZS15" s="214"/>
      <c r="ZT15" s="214"/>
      <c r="ZU15" s="214"/>
      <c r="ZV15" s="214"/>
      <c r="ZW15" s="214"/>
    </row>
    <row r="16" spans="1:699" ht="15.75" customHeight="1" thickBot="1" x14ac:dyDescent="0.25">
      <c r="A16" s="1144"/>
      <c r="B16" s="1146">
        <v>0.67200000000000004</v>
      </c>
      <c r="C16" s="1147" t="s">
        <v>836</v>
      </c>
      <c r="D16" s="1148"/>
      <c r="E16" s="181"/>
      <c r="F16" s="181"/>
      <c r="G16" s="181"/>
      <c r="H16" s="1145"/>
      <c r="I16" s="1145"/>
      <c r="J16" s="1130"/>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214"/>
      <c r="CV16" s="214"/>
      <c r="CW16" s="214"/>
      <c r="CX16" s="214"/>
      <c r="CY16" s="214"/>
      <c r="CZ16" s="214"/>
      <c r="DA16" s="214"/>
      <c r="DB16" s="214"/>
      <c r="DC16" s="214"/>
      <c r="DD16" s="214"/>
      <c r="DE16" s="214"/>
      <c r="DF16" s="214"/>
      <c r="DG16" s="214"/>
      <c r="DH16" s="214"/>
      <c r="DI16" s="214"/>
      <c r="DJ16" s="214"/>
      <c r="DK16" s="214"/>
      <c r="DL16" s="214"/>
      <c r="DM16" s="214"/>
      <c r="DN16" s="214"/>
      <c r="DO16" s="214"/>
      <c r="DP16" s="214"/>
      <c r="DQ16" s="214"/>
      <c r="DR16" s="214"/>
      <c r="DS16" s="214"/>
      <c r="DT16" s="214"/>
      <c r="DU16" s="214"/>
      <c r="DV16" s="214"/>
      <c r="DW16" s="214"/>
      <c r="DX16" s="214"/>
      <c r="DY16" s="214"/>
      <c r="DZ16" s="214"/>
      <c r="EA16" s="214"/>
      <c r="EB16" s="214"/>
      <c r="EC16" s="214"/>
      <c r="ED16" s="214"/>
      <c r="EE16" s="214"/>
      <c r="EF16" s="214"/>
      <c r="EG16" s="214"/>
      <c r="EH16" s="214"/>
      <c r="EI16" s="214"/>
      <c r="EJ16" s="214"/>
      <c r="EK16" s="214"/>
      <c r="EL16" s="214"/>
      <c r="EM16" s="214"/>
      <c r="EN16" s="214"/>
      <c r="EO16" s="214"/>
      <c r="EP16" s="214"/>
      <c r="EQ16" s="214"/>
      <c r="ER16" s="214"/>
      <c r="ES16" s="214"/>
      <c r="ET16" s="214"/>
      <c r="EU16" s="214"/>
      <c r="EV16" s="214"/>
      <c r="EW16" s="214"/>
      <c r="EX16" s="214"/>
      <c r="EY16" s="214"/>
      <c r="EZ16" s="214"/>
      <c r="FA16" s="214"/>
      <c r="FB16" s="214"/>
      <c r="FC16" s="214"/>
      <c r="FD16" s="214"/>
      <c r="FE16" s="214"/>
      <c r="FF16" s="214"/>
      <c r="FG16" s="214"/>
      <c r="FH16" s="214"/>
      <c r="FI16" s="214"/>
      <c r="FJ16" s="214"/>
      <c r="FK16" s="214"/>
      <c r="FL16" s="214"/>
      <c r="FM16" s="214"/>
      <c r="FN16" s="214"/>
      <c r="FO16" s="214"/>
      <c r="FP16" s="214"/>
      <c r="FQ16" s="214"/>
      <c r="FR16" s="214"/>
      <c r="FS16" s="214"/>
      <c r="FT16" s="214"/>
      <c r="FU16" s="214"/>
      <c r="FV16" s="214"/>
      <c r="FW16" s="214"/>
      <c r="FX16" s="214"/>
      <c r="FY16" s="214"/>
      <c r="FZ16" s="214"/>
      <c r="GA16" s="214"/>
      <c r="GB16" s="214"/>
      <c r="GC16" s="214"/>
      <c r="GD16" s="214"/>
      <c r="GE16" s="214"/>
      <c r="GF16" s="214"/>
      <c r="GG16" s="214"/>
      <c r="GH16" s="214"/>
      <c r="GI16" s="214"/>
      <c r="GJ16" s="214"/>
      <c r="GK16" s="214"/>
      <c r="GL16" s="214"/>
      <c r="GM16" s="214"/>
      <c r="GN16" s="214"/>
      <c r="GO16" s="214"/>
      <c r="GP16" s="214"/>
      <c r="GQ16" s="214"/>
      <c r="GR16" s="214"/>
      <c r="GS16" s="214"/>
      <c r="GT16" s="214"/>
      <c r="GU16" s="214"/>
      <c r="GV16" s="214"/>
      <c r="GW16" s="214"/>
      <c r="GX16" s="214"/>
      <c r="GY16" s="214"/>
      <c r="GZ16" s="214"/>
      <c r="HA16" s="214"/>
      <c r="HB16" s="214"/>
      <c r="HC16" s="214"/>
      <c r="HD16" s="214"/>
      <c r="HE16" s="214"/>
      <c r="HF16" s="214"/>
      <c r="HG16" s="214"/>
      <c r="HH16" s="214"/>
      <c r="HI16" s="214"/>
      <c r="HJ16" s="214"/>
      <c r="HK16" s="214"/>
      <c r="HL16" s="214"/>
      <c r="HM16" s="214"/>
      <c r="HN16" s="214"/>
      <c r="HO16" s="214"/>
      <c r="HP16" s="214"/>
      <c r="HQ16" s="214"/>
      <c r="HR16" s="214"/>
      <c r="HS16" s="214"/>
      <c r="HT16" s="214"/>
      <c r="HU16" s="214"/>
      <c r="HV16" s="214"/>
      <c r="HW16" s="214"/>
      <c r="HX16" s="214"/>
      <c r="HY16" s="214"/>
      <c r="HZ16" s="214"/>
      <c r="IA16" s="214"/>
      <c r="IB16" s="214"/>
      <c r="IC16" s="214"/>
      <c r="ID16" s="214"/>
      <c r="IE16" s="214"/>
      <c r="IF16" s="214"/>
      <c r="IG16" s="214"/>
      <c r="IH16" s="214"/>
      <c r="II16" s="214"/>
      <c r="IJ16" s="214"/>
      <c r="IK16" s="214"/>
      <c r="IL16" s="214"/>
      <c r="IM16" s="214"/>
      <c r="IN16" s="214"/>
      <c r="IO16" s="214"/>
      <c r="IP16" s="214"/>
      <c r="IQ16" s="214"/>
      <c r="IR16" s="214"/>
      <c r="IS16" s="214"/>
      <c r="IT16" s="214"/>
      <c r="IU16" s="214"/>
      <c r="IV16" s="214"/>
      <c r="IW16" s="214"/>
      <c r="IX16" s="214"/>
      <c r="IY16" s="214"/>
      <c r="IZ16" s="214"/>
      <c r="JA16" s="214"/>
      <c r="JB16" s="214"/>
      <c r="JC16" s="214"/>
      <c r="JD16" s="214"/>
      <c r="JE16" s="214"/>
      <c r="JF16" s="214"/>
      <c r="JG16" s="214"/>
      <c r="JH16" s="214"/>
      <c r="JI16" s="214"/>
      <c r="JJ16" s="214"/>
      <c r="JK16" s="214"/>
      <c r="JL16" s="214"/>
      <c r="JM16" s="214"/>
      <c r="JN16" s="214"/>
      <c r="JO16" s="214"/>
      <c r="JP16" s="214"/>
      <c r="JQ16" s="214"/>
      <c r="JR16" s="214"/>
      <c r="JS16" s="214"/>
      <c r="JT16" s="214"/>
      <c r="JU16" s="214"/>
      <c r="JV16" s="214"/>
      <c r="JW16" s="214"/>
      <c r="JX16" s="214"/>
      <c r="JY16" s="214"/>
      <c r="JZ16" s="214"/>
      <c r="KA16" s="214"/>
      <c r="KB16" s="214"/>
      <c r="KC16" s="214"/>
      <c r="KD16" s="214"/>
      <c r="KE16" s="214"/>
      <c r="KF16" s="214"/>
      <c r="KG16" s="214"/>
      <c r="KH16" s="214"/>
      <c r="KI16" s="214"/>
      <c r="KJ16" s="214"/>
      <c r="KK16" s="214"/>
      <c r="KL16" s="214"/>
      <c r="KM16" s="214"/>
      <c r="KN16" s="214"/>
      <c r="KO16" s="214"/>
      <c r="KP16" s="214"/>
      <c r="KQ16" s="214"/>
      <c r="KR16" s="214"/>
      <c r="KS16" s="214"/>
      <c r="KT16" s="214"/>
      <c r="KU16" s="214"/>
      <c r="KV16" s="214"/>
      <c r="KW16" s="214"/>
      <c r="KX16" s="214"/>
      <c r="KY16" s="214"/>
      <c r="KZ16" s="214"/>
      <c r="LA16" s="214"/>
      <c r="LB16" s="214"/>
      <c r="LC16" s="214"/>
      <c r="LD16" s="214"/>
      <c r="LE16" s="214"/>
      <c r="LF16" s="214"/>
      <c r="LG16" s="214"/>
      <c r="LH16" s="214"/>
      <c r="LI16" s="214"/>
      <c r="LJ16" s="214"/>
      <c r="LK16" s="214"/>
      <c r="LL16" s="214"/>
      <c r="LM16" s="214"/>
      <c r="LN16" s="214"/>
      <c r="LO16" s="214"/>
      <c r="LP16" s="214"/>
      <c r="LQ16" s="214"/>
      <c r="LR16" s="214"/>
      <c r="LS16" s="214"/>
      <c r="LT16" s="214"/>
      <c r="LU16" s="214"/>
      <c r="LV16" s="214"/>
      <c r="LW16" s="214"/>
      <c r="LX16" s="214"/>
      <c r="LY16" s="214"/>
      <c r="LZ16" s="214"/>
      <c r="MA16" s="214"/>
      <c r="MB16" s="214"/>
      <c r="MC16" s="214"/>
      <c r="MD16" s="214"/>
      <c r="ME16" s="214"/>
      <c r="MF16" s="214"/>
      <c r="MG16" s="214"/>
      <c r="MH16" s="214"/>
      <c r="MI16" s="214"/>
      <c r="MJ16" s="214"/>
      <c r="MK16" s="214"/>
      <c r="ML16" s="214"/>
      <c r="MM16" s="214"/>
      <c r="MN16" s="214"/>
      <c r="MO16" s="214"/>
      <c r="MP16" s="214"/>
      <c r="MQ16" s="214"/>
      <c r="MR16" s="214"/>
      <c r="MS16" s="214"/>
      <c r="MT16" s="214"/>
      <c r="MU16" s="214"/>
      <c r="MV16" s="214"/>
      <c r="MW16" s="214"/>
      <c r="MX16" s="214"/>
      <c r="MY16" s="214"/>
      <c r="MZ16" s="214"/>
      <c r="NA16" s="214"/>
      <c r="NB16" s="214"/>
      <c r="NC16" s="214"/>
      <c r="ND16" s="214"/>
      <c r="NE16" s="214"/>
      <c r="NF16" s="214"/>
      <c r="NG16" s="214"/>
      <c r="NH16" s="214"/>
      <c r="NI16" s="214"/>
      <c r="NJ16" s="214"/>
      <c r="NK16" s="214"/>
      <c r="NL16" s="214"/>
      <c r="NM16" s="214"/>
      <c r="NN16" s="214"/>
      <c r="NO16" s="214"/>
      <c r="NP16" s="214"/>
      <c r="NQ16" s="214"/>
      <c r="NR16" s="214"/>
      <c r="NS16" s="214"/>
      <c r="NT16" s="214"/>
      <c r="NU16" s="214"/>
      <c r="NV16" s="214"/>
      <c r="NW16" s="214"/>
      <c r="NX16" s="214"/>
      <c r="NY16" s="214"/>
      <c r="NZ16" s="214"/>
      <c r="OA16" s="214"/>
      <c r="OB16" s="214"/>
      <c r="OC16" s="214"/>
      <c r="OD16" s="214"/>
      <c r="OE16" s="214"/>
      <c r="OF16" s="214"/>
      <c r="OG16" s="214"/>
      <c r="OH16" s="214"/>
      <c r="OI16" s="214"/>
      <c r="OJ16" s="214"/>
      <c r="OK16" s="214"/>
      <c r="OL16" s="214"/>
      <c r="OM16" s="214"/>
      <c r="ON16" s="214"/>
      <c r="OO16" s="214"/>
      <c r="OP16" s="214"/>
      <c r="OQ16" s="214"/>
      <c r="OR16" s="214"/>
      <c r="OS16" s="214"/>
      <c r="OT16" s="214"/>
      <c r="OU16" s="214"/>
      <c r="OV16" s="214"/>
      <c r="OW16" s="214"/>
      <c r="OX16" s="214"/>
      <c r="OY16" s="214"/>
      <c r="OZ16" s="214"/>
      <c r="PA16" s="214"/>
      <c r="PB16" s="214"/>
      <c r="PC16" s="214"/>
      <c r="PD16" s="214"/>
      <c r="PE16" s="214"/>
      <c r="PF16" s="214"/>
      <c r="PG16" s="214"/>
      <c r="PH16" s="214"/>
      <c r="PI16" s="214"/>
      <c r="PJ16" s="214"/>
      <c r="PK16" s="214"/>
      <c r="PL16" s="214"/>
      <c r="PM16" s="214"/>
      <c r="PN16" s="214"/>
      <c r="PO16" s="214"/>
      <c r="PP16" s="214"/>
      <c r="PQ16" s="214"/>
      <c r="PR16" s="214"/>
      <c r="PS16" s="214"/>
      <c r="PT16" s="214"/>
      <c r="PU16" s="214"/>
      <c r="PV16" s="214"/>
      <c r="PW16" s="214"/>
      <c r="PX16" s="214"/>
      <c r="PY16" s="214"/>
      <c r="PZ16" s="214"/>
      <c r="QA16" s="214"/>
      <c r="QB16" s="214"/>
      <c r="QC16" s="214"/>
      <c r="QD16" s="214"/>
      <c r="QE16" s="214"/>
      <c r="QF16" s="214"/>
      <c r="QG16" s="214"/>
      <c r="QH16" s="214"/>
      <c r="QI16" s="214"/>
      <c r="QJ16" s="214"/>
      <c r="QK16" s="214"/>
      <c r="QL16" s="214"/>
      <c r="QM16" s="214"/>
      <c r="QN16" s="214"/>
      <c r="QO16" s="214"/>
      <c r="QP16" s="214"/>
      <c r="QQ16" s="214"/>
      <c r="QR16" s="214"/>
      <c r="QS16" s="214"/>
      <c r="QT16" s="214"/>
      <c r="QU16" s="214"/>
      <c r="QV16" s="214"/>
      <c r="QW16" s="214"/>
      <c r="QX16" s="214"/>
      <c r="QY16" s="214"/>
      <c r="QZ16" s="214"/>
      <c r="RA16" s="214"/>
      <c r="RB16" s="214"/>
      <c r="RC16" s="214"/>
      <c r="RD16" s="214"/>
      <c r="RE16" s="214"/>
      <c r="RF16" s="214"/>
      <c r="RG16" s="214"/>
      <c r="RH16" s="214"/>
      <c r="RI16" s="214"/>
      <c r="RJ16" s="214"/>
      <c r="RK16" s="214"/>
      <c r="RL16" s="214"/>
      <c r="RM16" s="214"/>
      <c r="RN16" s="214"/>
      <c r="RO16" s="214"/>
      <c r="RP16" s="214"/>
      <c r="RQ16" s="214"/>
      <c r="RR16" s="214"/>
      <c r="RS16" s="214"/>
      <c r="RT16" s="214"/>
      <c r="RU16" s="214"/>
      <c r="RV16" s="214"/>
      <c r="RW16" s="214"/>
      <c r="RX16" s="214"/>
      <c r="RY16" s="214"/>
      <c r="RZ16" s="214"/>
      <c r="SA16" s="214"/>
      <c r="SB16" s="214"/>
      <c r="SC16" s="214"/>
      <c r="SD16" s="214"/>
      <c r="SE16" s="214"/>
      <c r="SF16" s="214"/>
      <c r="SG16" s="214"/>
      <c r="SH16" s="214"/>
      <c r="SI16" s="214"/>
      <c r="SJ16" s="214"/>
      <c r="SK16" s="214"/>
      <c r="SL16" s="214"/>
      <c r="SM16" s="214"/>
      <c r="SN16" s="214"/>
      <c r="SO16" s="214"/>
      <c r="SP16" s="214"/>
      <c r="SQ16" s="214"/>
      <c r="SR16" s="214"/>
      <c r="SS16" s="214"/>
      <c r="ST16" s="214"/>
      <c r="SU16" s="214"/>
      <c r="SV16" s="214"/>
      <c r="SW16" s="214"/>
      <c r="SX16" s="214"/>
      <c r="SY16" s="214"/>
      <c r="SZ16" s="214"/>
      <c r="TA16" s="214"/>
      <c r="TB16" s="214"/>
      <c r="TC16" s="214"/>
      <c r="TD16" s="214"/>
      <c r="TE16" s="214"/>
      <c r="TF16" s="214"/>
      <c r="TG16" s="214"/>
      <c r="TH16" s="214"/>
      <c r="TI16" s="214"/>
      <c r="TJ16" s="214"/>
      <c r="TK16" s="214"/>
      <c r="TL16" s="214"/>
      <c r="TM16" s="214"/>
      <c r="TN16" s="214"/>
      <c r="TO16" s="214"/>
      <c r="TP16" s="214"/>
      <c r="TQ16" s="214"/>
      <c r="TR16" s="214"/>
      <c r="TS16" s="214"/>
      <c r="TT16" s="214"/>
      <c r="TU16" s="214"/>
      <c r="TV16" s="214"/>
      <c r="TW16" s="214"/>
      <c r="TX16" s="214"/>
      <c r="TY16" s="214"/>
      <c r="TZ16" s="214"/>
      <c r="UA16" s="214"/>
      <c r="UB16" s="214"/>
      <c r="UC16" s="214"/>
      <c r="UD16" s="214"/>
      <c r="UE16" s="214"/>
      <c r="UF16" s="214"/>
      <c r="UG16" s="214"/>
      <c r="UH16" s="214"/>
      <c r="UI16" s="214"/>
      <c r="UJ16" s="214"/>
      <c r="UK16" s="214"/>
      <c r="UL16" s="214"/>
      <c r="UM16" s="214"/>
      <c r="UN16" s="214"/>
      <c r="UO16" s="214"/>
      <c r="UP16" s="214"/>
      <c r="UQ16" s="214"/>
      <c r="UR16" s="214"/>
      <c r="US16" s="214"/>
      <c r="UT16" s="214"/>
      <c r="UU16" s="214"/>
      <c r="UV16" s="214"/>
      <c r="UW16" s="214"/>
      <c r="UX16" s="214"/>
      <c r="UY16" s="214"/>
      <c r="UZ16" s="214"/>
      <c r="VA16" s="214"/>
      <c r="VB16" s="214"/>
      <c r="VC16" s="214"/>
      <c r="VD16" s="214"/>
      <c r="VE16" s="214"/>
      <c r="VF16" s="214"/>
      <c r="VG16" s="214"/>
      <c r="VH16" s="214"/>
      <c r="VI16" s="214"/>
      <c r="VJ16" s="214"/>
      <c r="VK16" s="214"/>
      <c r="VL16" s="214"/>
      <c r="VM16" s="214"/>
      <c r="VN16" s="214"/>
      <c r="VO16" s="214"/>
      <c r="VP16" s="214"/>
      <c r="VQ16" s="214"/>
      <c r="VR16" s="214"/>
      <c r="VS16" s="214"/>
      <c r="VT16" s="214"/>
      <c r="VU16" s="214"/>
      <c r="VV16" s="214"/>
      <c r="VW16" s="214"/>
      <c r="VX16" s="214"/>
      <c r="VY16" s="214"/>
      <c r="VZ16" s="214"/>
      <c r="WA16" s="214"/>
      <c r="WB16" s="214"/>
      <c r="WC16" s="214"/>
      <c r="WD16" s="214"/>
      <c r="WE16" s="214"/>
      <c r="WF16" s="214"/>
      <c r="WG16" s="214"/>
      <c r="WH16" s="214"/>
      <c r="WI16" s="214"/>
      <c r="WJ16" s="214"/>
      <c r="WK16" s="214"/>
      <c r="WL16" s="214"/>
      <c r="WM16" s="214"/>
      <c r="WN16" s="214"/>
      <c r="WO16" s="214"/>
      <c r="WP16" s="214"/>
      <c r="WQ16" s="214"/>
      <c r="WR16" s="214"/>
      <c r="WS16" s="214"/>
      <c r="WT16" s="214"/>
      <c r="WU16" s="214"/>
      <c r="WV16" s="214"/>
      <c r="WW16" s="214"/>
      <c r="WX16" s="214"/>
      <c r="WY16" s="214"/>
      <c r="WZ16" s="214"/>
      <c r="XA16" s="214"/>
      <c r="XB16" s="214"/>
      <c r="XC16" s="214"/>
      <c r="XD16" s="214"/>
      <c r="XE16" s="214"/>
      <c r="XF16" s="214"/>
      <c r="XG16" s="214"/>
      <c r="XH16" s="214"/>
      <c r="XI16" s="214"/>
      <c r="XJ16" s="214"/>
      <c r="XK16" s="214"/>
      <c r="XL16" s="214"/>
      <c r="XM16" s="214"/>
      <c r="XN16" s="214"/>
      <c r="XO16" s="214"/>
      <c r="XP16" s="214"/>
      <c r="XQ16" s="214"/>
      <c r="XR16" s="214"/>
      <c r="XS16" s="214"/>
      <c r="XT16" s="214"/>
      <c r="XU16" s="214"/>
      <c r="XV16" s="214"/>
      <c r="XW16" s="214"/>
      <c r="XX16" s="214"/>
      <c r="XY16" s="214"/>
      <c r="XZ16" s="214"/>
      <c r="YA16" s="214"/>
      <c r="YB16" s="214"/>
      <c r="YC16" s="214"/>
      <c r="YD16" s="214"/>
      <c r="YE16" s="214"/>
      <c r="YF16" s="214"/>
      <c r="YG16" s="214"/>
      <c r="YH16" s="214"/>
      <c r="YI16" s="214"/>
      <c r="YJ16" s="214"/>
      <c r="YK16" s="214"/>
      <c r="YL16" s="214"/>
      <c r="YM16" s="214"/>
      <c r="YN16" s="214"/>
      <c r="YO16" s="214"/>
      <c r="YP16" s="214"/>
      <c r="YQ16" s="214"/>
      <c r="YR16" s="214"/>
      <c r="YS16" s="214"/>
      <c r="YT16" s="214"/>
      <c r="YU16" s="214"/>
      <c r="YV16" s="214"/>
      <c r="YW16" s="214"/>
      <c r="YX16" s="214"/>
      <c r="YY16" s="214"/>
      <c r="YZ16" s="214"/>
      <c r="ZA16" s="214"/>
      <c r="ZB16" s="214"/>
      <c r="ZC16" s="214"/>
      <c r="ZD16" s="214"/>
      <c r="ZE16" s="214"/>
      <c r="ZF16" s="214"/>
      <c r="ZG16" s="214"/>
      <c r="ZH16" s="214"/>
      <c r="ZI16" s="214"/>
      <c r="ZJ16" s="214"/>
      <c r="ZK16" s="214"/>
      <c r="ZL16" s="214"/>
      <c r="ZM16" s="214"/>
      <c r="ZN16" s="214"/>
      <c r="ZO16" s="214"/>
      <c r="ZP16" s="214"/>
      <c r="ZQ16" s="214"/>
      <c r="ZR16" s="214"/>
      <c r="ZS16" s="214"/>
      <c r="ZT16" s="214"/>
      <c r="ZU16" s="214"/>
      <c r="ZV16" s="214"/>
      <c r="ZW16" s="214"/>
    </row>
    <row r="17" spans="1:699" ht="15.75" customHeight="1" thickBot="1" x14ac:dyDescent="0.25">
      <c r="A17" s="1144"/>
      <c r="B17" s="181"/>
      <c r="C17" s="181"/>
      <c r="D17" s="1149"/>
      <c r="E17" s="181"/>
      <c r="F17" s="1145"/>
      <c r="G17" s="1145"/>
      <c r="H17" s="1145"/>
      <c r="I17" s="1145"/>
      <c r="J17" s="1130"/>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214"/>
      <c r="CV17" s="214"/>
      <c r="CW17" s="214"/>
      <c r="CX17" s="214"/>
      <c r="CY17" s="214"/>
      <c r="CZ17" s="214"/>
      <c r="DA17" s="214"/>
      <c r="DB17" s="214"/>
      <c r="DC17" s="214"/>
      <c r="DD17" s="214"/>
      <c r="DE17" s="214"/>
      <c r="DF17" s="214"/>
      <c r="DG17" s="214"/>
      <c r="DH17" s="214"/>
      <c r="DI17" s="214"/>
      <c r="DJ17" s="214"/>
      <c r="DK17" s="214"/>
      <c r="DL17" s="214"/>
      <c r="DM17" s="214"/>
      <c r="DN17" s="214"/>
      <c r="DO17" s="214"/>
      <c r="DP17" s="214"/>
      <c r="DQ17" s="214"/>
      <c r="DR17" s="214"/>
      <c r="DS17" s="214"/>
      <c r="DT17" s="214"/>
      <c r="DU17" s="214"/>
      <c r="DV17" s="214"/>
      <c r="DW17" s="214"/>
      <c r="DX17" s="214"/>
      <c r="DY17" s="214"/>
      <c r="DZ17" s="214"/>
      <c r="EA17" s="214"/>
      <c r="EB17" s="214"/>
      <c r="EC17" s="214"/>
      <c r="ED17" s="214"/>
      <c r="EE17" s="214"/>
      <c r="EF17" s="214"/>
      <c r="EG17" s="214"/>
      <c r="EH17" s="214"/>
      <c r="EI17" s="214"/>
      <c r="EJ17" s="214"/>
      <c r="EK17" s="214"/>
      <c r="EL17" s="214"/>
      <c r="EM17" s="214"/>
      <c r="EN17" s="214"/>
      <c r="EO17" s="214"/>
      <c r="EP17" s="214"/>
      <c r="EQ17" s="214"/>
      <c r="ER17" s="214"/>
      <c r="ES17" s="214"/>
      <c r="ET17" s="214"/>
      <c r="EU17" s="214"/>
      <c r="EV17" s="214"/>
      <c r="EW17" s="214"/>
      <c r="EX17" s="214"/>
      <c r="EY17" s="214"/>
      <c r="EZ17" s="214"/>
      <c r="FA17" s="214"/>
      <c r="FB17" s="214"/>
      <c r="FC17" s="214"/>
      <c r="FD17" s="214"/>
      <c r="FE17" s="214"/>
      <c r="FF17" s="214"/>
      <c r="FG17" s="214"/>
      <c r="FH17" s="214"/>
      <c r="FI17" s="214"/>
      <c r="FJ17" s="214"/>
      <c r="FK17" s="214"/>
      <c r="FL17" s="214"/>
      <c r="FM17" s="214"/>
      <c r="FN17" s="214"/>
      <c r="FO17" s="214"/>
      <c r="FP17" s="214"/>
      <c r="FQ17" s="214"/>
      <c r="FR17" s="214"/>
      <c r="FS17" s="214"/>
      <c r="FT17" s="214"/>
      <c r="FU17" s="214"/>
      <c r="FV17" s="214"/>
      <c r="FW17" s="214"/>
      <c r="FX17" s="214"/>
      <c r="FY17" s="214"/>
      <c r="FZ17" s="214"/>
      <c r="GA17" s="214"/>
      <c r="GB17" s="214"/>
      <c r="GC17" s="214"/>
      <c r="GD17" s="214"/>
      <c r="GE17" s="214"/>
      <c r="GF17" s="214"/>
      <c r="GG17" s="214"/>
      <c r="GH17" s="214"/>
      <c r="GI17" s="214"/>
      <c r="GJ17" s="214"/>
      <c r="GK17" s="214"/>
      <c r="GL17" s="214"/>
      <c r="GM17" s="214"/>
      <c r="GN17" s="214"/>
      <c r="GO17" s="214"/>
      <c r="GP17" s="214"/>
      <c r="GQ17" s="214"/>
      <c r="GR17" s="214"/>
      <c r="GS17" s="214"/>
      <c r="GT17" s="214"/>
      <c r="GU17" s="214"/>
      <c r="GV17" s="214"/>
      <c r="GW17" s="214"/>
      <c r="GX17" s="214"/>
      <c r="GY17" s="214"/>
      <c r="GZ17" s="214"/>
      <c r="HA17" s="214"/>
      <c r="HB17" s="214"/>
      <c r="HC17" s="214"/>
      <c r="HD17" s="214"/>
      <c r="HE17" s="214"/>
      <c r="HF17" s="214"/>
      <c r="HG17" s="214"/>
      <c r="HH17" s="214"/>
      <c r="HI17" s="214"/>
      <c r="HJ17" s="214"/>
      <c r="HK17" s="214"/>
      <c r="HL17" s="214"/>
      <c r="HM17" s="214"/>
      <c r="HN17" s="214"/>
      <c r="HO17" s="214"/>
      <c r="HP17" s="214"/>
      <c r="HQ17" s="214"/>
      <c r="HR17" s="214"/>
      <c r="HS17" s="214"/>
      <c r="HT17" s="214"/>
      <c r="HU17" s="214"/>
      <c r="HV17" s="214"/>
      <c r="HW17" s="214"/>
      <c r="HX17" s="214"/>
      <c r="HY17" s="214"/>
      <c r="HZ17" s="214"/>
      <c r="IA17" s="214"/>
      <c r="IB17" s="214"/>
      <c r="IC17" s="214"/>
      <c r="ID17" s="214"/>
      <c r="IE17" s="214"/>
      <c r="IF17" s="214"/>
      <c r="IG17" s="214"/>
      <c r="IH17" s="214"/>
      <c r="II17" s="214"/>
      <c r="IJ17" s="214"/>
      <c r="IK17" s="214"/>
      <c r="IL17" s="214"/>
      <c r="IM17" s="214"/>
      <c r="IN17" s="214"/>
      <c r="IO17" s="214"/>
      <c r="IP17" s="214"/>
      <c r="IQ17" s="214"/>
      <c r="IR17" s="214"/>
      <c r="IS17" s="214"/>
      <c r="IT17" s="214"/>
      <c r="IU17" s="214"/>
      <c r="IV17" s="214"/>
      <c r="IW17" s="214"/>
      <c r="IX17" s="214"/>
      <c r="IY17" s="214"/>
      <c r="IZ17" s="214"/>
      <c r="JA17" s="214"/>
      <c r="JB17" s="214"/>
      <c r="JC17" s="214"/>
      <c r="JD17" s="214"/>
      <c r="JE17" s="214"/>
      <c r="JF17" s="214"/>
      <c r="JG17" s="214"/>
      <c r="JH17" s="214"/>
      <c r="JI17" s="214"/>
      <c r="JJ17" s="214"/>
      <c r="JK17" s="214"/>
      <c r="JL17" s="214"/>
      <c r="JM17" s="214"/>
      <c r="JN17" s="214"/>
      <c r="JO17" s="214"/>
      <c r="JP17" s="214"/>
      <c r="JQ17" s="214"/>
      <c r="JR17" s="214"/>
      <c r="JS17" s="214"/>
      <c r="JT17" s="214"/>
      <c r="JU17" s="214"/>
      <c r="JV17" s="214"/>
      <c r="JW17" s="214"/>
      <c r="JX17" s="214"/>
      <c r="JY17" s="214"/>
      <c r="JZ17" s="214"/>
      <c r="KA17" s="214"/>
      <c r="KB17" s="214"/>
      <c r="KC17" s="214"/>
      <c r="KD17" s="214"/>
      <c r="KE17" s="214"/>
      <c r="KF17" s="214"/>
      <c r="KG17" s="214"/>
      <c r="KH17" s="214"/>
      <c r="KI17" s="214"/>
      <c r="KJ17" s="214"/>
      <c r="KK17" s="214"/>
      <c r="KL17" s="214"/>
      <c r="KM17" s="214"/>
      <c r="KN17" s="214"/>
      <c r="KO17" s="214"/>
      <c r="KP17" s="214"/>
      <c r="KQ17" s="214"/>
      <c r="KR17" s="214"/>
      <c r="KS17" s="214"/>
      <c r="KT17" s="214"/>
      <c r="KU17" s="214"/>
      <c r="KV17" s="214"/>
      <c r="KW17" s="214"/>
      <c r="KX17" s="214"/>
      <c r="KY17" s="214"/>
      <c r="KZ17" s="214"/>
      <c r="LA17" s="214"/>
      <c r="LB17" s="214"/>
      <c r="LC17" s="214"/>
      <c r="LD17" s="214"/>
      <c r="LE17" s="214"/>
      <c r="LF17" s="214"/>
      <c r="LG17" s="214"/>
      <c r="LH17" s="214"/>
      <c r="LI17" s="214"/>
      <c r="LJ17" s="214"/>
      <c r="LK17" s="214"/>
      <c r="LL17" s="214"/>
      <c r="LM17" s="214"/>
      <c r="LN17" s="214"/>
      <c r="LO17" s="214"/>
      <c r="LP17" s="214"/>
      <c r="LQ17" s="214"/>
      <c r="LR17" s="214"/>
      <c r="LS17" s="214"/>
      <c r="LT17" s="214"/>
      <c r="LU17" s="214"/>
      <c r="LV17" s="214"/>
      <c r="LW17" s="214"/>
      <c r="LX17" s="214"/>
      <c r="LY17" s="214"/>
      <c r="LZ17" s="214"/>
      <c r="MA17" s="214"/>
      <c r="MB17" s="214"/>
      <c r="MC17" s="214"/>
      <c r="MD17" s="214"/>
      <c r="ME17" s="214"/>
      <c r="MF17" s="214"/>
      <c r="MG17" s="214"/>
      <c r="MH17" s="214"/>
      <c r="MI17" s="214"/>
      <c r="MJ17" s="214"/>
      <c r="MK17" s="214"/>
      <c r="ML17" s="214"/>
      <c r="MM17" s="214"/>
      <c r="MN17" s="214"/>
      <c r="MO17" s="214"/>
      <c r="MP17" s="214"/>
      <c r="MQ17" s="214"/>
      <c r="MR17" s="214"/>
      <c r="MS17" s="214"/>
      <c r="MT17" s="214"/>
      <c r="MU17" s="214"/>
      <c r="MV17" s="214"/>
      <c r="MW17" s="214"/>
      <c r="MX17" s="214"/>
      <c r="MY17" s="214"/>
      <c r="MZ17" s="214"/>
      <c r="NA17" s="214"/>
      <c r="NB17" s="214"/>
      <c r="NC17" s="214"/>
      <c r="ND17" s="214"/>
      <c r="NE17" s="214"/>
      <c r="NF17" s="214"/>
      <c r="NG17" s="214"/>
      <c r="NH17" s="214"/>
      <c r="NI17" s="214"/>
      <c r="NJ17" s="214"/>
      <c r="NK17" s="214"/>
      <c r="NL17" s="214"/>
      <c r="NM17" s="214"/>
      <c r="NN17" s="214"/>
      <c r="NO17" s="214"/>
      <c r="NP17" s="214"/>
      <c r="NQ17" s="214"/>
      <c r="NR17" s="214"/>
      <c r="NS17" s="214"/>
      <c r="NT17" s="214"/>
      <c r="NU17" s="214"/>
      <c r="NV17" s="214"/>
      <c r="NW17" s="214"/>
      <c r="NX17" s="214"/>
      <c r="NY17" s="214"/>
      <c r="NZ17" s="214"/>
      <c r="OA17" s="214"/>
      <c r="OB17" s="214"/>
      <c r="OC17" s="214"/>
      <c r="OD17" s="214"/>
      <c r="OE17" s="214"/>
      <c r="OF17" s="214"/>
      <c r="OG17" s="214"/>
      <c r="OH17" s="214"/>
      <c r="OI17" s="214"/>
      <c r="OJ17" s="214"/>
      <c r="OK17" s="214"/>
      <c r="OL17" s="214"/>
      <c r="OM17" s="214"/>
      <c r="ON17" s="214"/>
      <c r="OO17" s="214"/>
      <c r="OP17" s="214"/>
      <c r="OQ17" s="214"/>
      <c r="OR17" s="214"/>
      <c r="OS17" s="214"/>
      <c r="OT17" s="214"/>
      <c r="OU17" s="214"/>
      <c r="OV17" s="214"/>
      <c r="OW17" s="214"/>
      <c r="OX17" s="214"/>
      <c r="OY17" s="214"/>
      <c r="OZ17" s="214"/>
      <c r="PA17" s="214"/>
      <c r="PB17" s="214"/>
      <c r="PC17" s="214"/>
      <c r="PD17" s="214"/>
      <c r="PE17" s="214"/>
      <c r="PF17" s="214"/>
      <c r="PG17" s="214"/>
      <c r="PH17" s="214"/>
      <c r="PI17" s="214"/>
      <c r="PJ17" s="214"/>
      <c r="PK17" s="214"/>
      <c r="PL17" s="214"/>
      <c r="PM17" s="214"/>
      <c r="PN17" s="214"/>
      <c r="PO17" s="214"/>
      <c r="PP17" s="214"/>
      <c r="PQ17" s="214"/>
      <c r="PR17" s="214"/>
      <c r="PS17" s="214"/>
      <c r="PT17" s="214"/>
      <c r="PU17" s="214"/>
      <c r="PV17" s="214"/>
      <c r="PW17" s="214"/>
      <c r="PX17" s="214"/>
      <c r="PY17" s="214"/>
      <c r="PZ17" s="214"/>
      <c r="QA17" s="214"/>
      <c r="QB17" s="214"/>
      <c r="QC17" s="214"/>
      <c r="QD17" s="214"/>
      <c r="QE17" s="214"/>
      <c r="QF17" s="214"/>
      <c r="QG17" s="214"/>
      <c r="QH17" s="214"/>
      <c r="QI17" s="214"/>
      <c r="QJ17" s="214"/>
      <c r="QK17" s="214"/>
      <c r="QL17" s="214"/>
      <c r="QM17" s="214"/>
      <c r="QN17" s="214"/>
      <c r="QO17" s="214"/>
      <c r="QP17" s="214"/>
      <c r="QQ17" s="214"/>
      <c r="QR17" s="214"/>
      <c r="QS17" s="214"/>
      <c r="QT17" s="214"/>
      <c r="QU17" s="214"/>
      <c r="QV17" s="214"/>
      <c r="QW17" s="214"/>
      <c r="QX17" s="214"/>
      <c r="QY17" s="214"/>
      <c r="QZ17" s="214"/>
      <c r="RA17" s="214"/>
      <c r="RB17" s="214"/>
      <c r="RC17" s="214"/>
      <c r="RD17" s="214"/>
      <c r="RE17" s="214"/>
      <c r="RF17" s="214"/>
      <c r="RG17" s="214"/>
      <c r="RH17" s="214"/>
      <c r="RI17" s="214"/>
      <c r="RJ17" s="214"/>
      <c r="RK17" s="214"/>
      <c r="RL17" s="214"/>
      <c r="RM17" s="214"/>
      <c r="RN17" s="214"/>
      <c r="RO17" s="214"/>
      <c r="RP17" s="214"/>
      <c r="RQ17" s="214"/>
      <c r="RR17" s="214"/>
      <c r="RS17" s="214"/>
      <c r="RT17" s="214"/>
      <c r="RU17" s="214"/>
      <c r="RV17" s="214"/>
      <c r="RW17" s="214"/>
      <c r="RX17" s="214"/>
      <c r="RY17" s="214"/>
      <c r="RZ17" s="214"/>
      <c r="SA17" s="214"/>
      <c r="SB17" s="214"/>
      <c r="SC17" s="214"/>
      <c r="SD17" s="214"/>
      <c r="SE17" s="214"/>
      <c r="SF17" s="214"/>
      <c r="SG17" s="214"/>
      <c r="SH17" s="214"/>
      <c r="SI17" s="214"/>
      <c r="SJ17" s="214"/>
      <c r="SK17" s="214"/>
      <c r="SL17" s="214"/>
      <c r="SM17" s="214"/>
      <c r="SN17" s="214"/>
      <c r="SO17" s="214"/>
      <c r="SP17" s="214"/>
      <c r="SQ17" s="214"/>
      <c r="SR17" s="214"/>
      <c r="SS17" s="214"/>
      <c r="ST17" s="214"/>
      <c r="SU17" s="214"/>
      <c r="SV17" s="214"/>
      <c r="SW17" s="214"/>
      <c r="SX17" s="214"/>
      <c r="SY17" s="214"/>
      <c r="SZ17" s="214"/>
      <c r="TA17" s="214"/>
      <c r="TB17" s="214"/>
      <c r="TC17" s="214"/>
      <c r="TD17" s="214"/>
      <c r="TE17" s="214"/>
      <c r="TF17" s="214"/>
      <c r="TG17" s="214"/>
      <c r="TH17" s="214"/>
      <c r="TI17" s="214"/>
      <c r="TJ17" s="214"/>
      <c r="TK17" s="214"/>
      <c r="TL17" s="214"/>
      <c r="TM17" s="214"/>
      <c r="TN17" s="214"/>
      <c r="TO17" s="214"/>
      <c r="TP17" s="214"/>
      <c r="TQ17" s="214"/>
      <c r="TR17" s="214"/>
      <c r="TS17" s="214"/>
      <c r="TT17" s="214"/>
      <c r="TU17" s="214"/>
      <c r="TV17" s="214"/>
      <c r="TW17" s="214"/>
      <c r="TX17" s="214"/>
      <c r="TY17" s="214"/>
      <c r="TZ17" s="214"/>
      <c r="UA17" s="214"/>
      <c r="UB17" s="214"/>
      <c r="UC17" s="214"/>
      <c r="UD17" s="214"/>
      <c r="UE17" s="214"/>
      <c r="UF17" s="214"/>
      <c r="UG17" s="214"/>
      <c r="UH17" s="214"/>
      <c r="UI17" s="214"/>
      <c r="UJ17" s="214"/>
      <c r="UK17" s="214"/>
      <c r="UL17" s="214"/>
      <c r="UM17" s="214"/>
      <c r="UN17" s="214"/>
      <c r="UO17" s="214"/>
      <c r="UP17" s="214"/>
      <c r="UQ17" s="214"/>
      <c r="UR17" s="214"/>
      <c r="US17" s="214"/>
      <c r="UT17" s="214"/>
      <c r="UU17" s="214"/>
      <c r="UV17" s="214"/>
      <c r="UW17" s="214"/>
      <c r="UX17" s="214"/>
      <c r="UY17" s="214"/>
      <c r="UZ17" s="214"/>
      <c r="VA17" s="214"/>
      <c r="VB17" s="214"/>
      <c r="VC17" s="214"/>
      <c r="VD17" s="214"/>
      <c r="VE17" s="214"/>
      <c r="VF17" s="214"/>
      <c r="VG17" s="214"/>
      <c r="VH17" s="214"/>
      <c r="VI17" s="214"/>
      <c r="VJ17" s="214"/>
      <c r="VK17" s="214"/>
      <c r="VL17" s="214"/>
      <c r="VM17" s="214"/>
      <c r="VN17" s="214"/>
      <c r="VO17" s="214"/>
      <c r="VP17" s="214"/>
      <c r="VQ17" s="214"/>
      <c r="VR17" s="214"/>
      <c r="VS17" s="214"/>
      <c r="VT17" s="214"/>
      <c r="VU17" s="214"/>
      <c r="VV17" s="214"/>
      <c r="VW17" s="214"/>
      <c r="VX17" s="214"/>
      <c r="VY17" s="214"/>
      <c r="VZ17" s="214"/>
      <c r="WA17" s="214"/>
      <c r="WB17" s="214"/>
      <c r="WC17" s="214"/>
      <c r="WD17" s="214"/>
      <c r="WE17" s="214"/>
      <c r="WF17" s="214"/>
      <c r="WG17" s="214"/>
      <c r="WH17" s="214"/>
      <c r="WI17" s="214"/>
      <c r="WJ17" s="214"/>
      <c r="WK17" s="214"/>
      <c r="WL17" s="214"/>
      <c r="WM17" s="214"/>
      <c r="WN17" s="214"/>
      <c r="WO17" s="214"/>
      <c r="WP17" s="214"/>
      <c r="WQ17" s="214"/>
      <c r="WR17" s="214"/>
      <c r="WS17" s="214"/>
      <c r="WT17" s="214"/>
      <c r="WU17" s="214"/>
      <c r="WV17" s="214"/>
      <c r="WW17" s="214"/>
      <c r="WX17" s="214"/>
      <c r="WY17" s="214"/>
      <c r="WZ17" s="214"/>
      <c r="XA17" s="214"/>
      <c r="XB17" s="214"/>
      <c r="XC17" s="214"/>
      <c r="XD17" s="214"/>
      <c r="XE17" s="214"/>
      <c r="XF17" s="214"/>
      <c r="XG17" s="214"/>
      <c r="XH17" s="214"/>
      <c r="XI17" s="214"/>
      <c r="XJ17" s="214"/>
      <c r="XK17" s="214"/>
      <c r="XL17" s="214"/>
      <c r="XM17" s="214"/>
      <c r="XN17" s="214"/>
      <c r="XO17" s="214"/>
      <c r="XP17" s="214"/>
      <c r="XQ17" s="214"/>
      <c r="XR17" s="214"/>
      <c r="XS17" s="214"/>
      <c r="XT17" s="214"/>
      <c r="XU17" s="214"/>
      <c r="XV17" s="214"/>
      <c r="XW17" s="214"/>
      <c r="XX17" s="214"/>
      <c r="XY17" s="214"/>
      <c r="XZ17" s="214"/>
      <c r="YA17" s="214"/>
      <c r="YB17" s="214"/>
      <c r="YC17" s="214"/>
      <c r="YD17" s="214"/>
      <c r="YE17" s="214"/>
      <c r="YF17" s="214"/>
      <c r="YG17" s="214"/>
      <c r="YH17" s="214"/>
      <c r="YI17" s="214"/>
      <c r="YJ17" s="214"/>
      <c r="YK17" s="214"/>
      <c r="YL17" s="214"/>
      <c r="YM17" s="214"/>
      <c r="YN17" s="214"/>
      <c r="YO17" s="214"/>
      <c r="YP17" s="214"/>
      <c r="YQ17" s="214"/>
      <c r="YR17" s="214"/>
      <c r="YS17" s="214"/>
      <c r="YT17" s="214"/>
      <c r="YU17" s="214"/>
      <c r="YV17" s="214"/>
      <c r="YW17" s="214"/>
      <c r="YX17" s="214"/>
      <c r="YY17" s="214"/>
      <c r="YZ17" s="214"/>
      <c r="ZA17" s="214"/>
      <c r="ZB17" s="214"/>
      <c r="ZC17" s="214"/>
      <c r="ZD17" s="214"/>
      <c r="ZE17" s="214"/>
      <c r="ZF17" s="214"/>
      <c r="ZG17" s="214"/>
      <c r="ZH17" s="214"/>
      <c r="ZI17" s="214"/>
      <c r="ZJ17" s="214"/>
      <c r="ZK17" s="214"/>
      <c r="ZL17" s="214"/>
      <c r="ZM17" s="214"/>
      <c r="ZN17" s="214"/>
      <c r="ZO17" s="214"/>
      <c r="ZP17" s="214"/>
      <c r="ZQ17" s="214"/>
      <c r="ZR17" s="214"/>
      <c r="ZS17" s="214"/>
      <c r="ZT17" s="214"/>
      <c r="ZU17" s="214"/>
      <c r="ZV17" s="214"/>
      <c r="ZW17" s="214"/>
    </row>
    <row r="18" spans="1:699" ht="15.75" customHeight="1" x14ac:dyDescent="0.2">
      <c r="A18" s="1121"/>
      <c r="B18" s="1150">
        <v>3.5000000000000003E-2</v>
      </c>
      <c r="C18" s="1151" t="s">
        <v>837</v>
      </c>
      <c r="D18" s="1140"/>
      <c r="E18" s="181"/>
      <c r="F18" s="181"/>
      <c r="G18" s="181"/>
      <c r="H18" s="181"/>
      <c r="I18" s="181"/>
      <c r="J18" s="112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row>
    <row r="19" spans="1:699" ht="15.75" customHeight="1" thickBot="1" x14ac:dyDescent="0.25">
      <c r="A19" s="1121"/>
      <c r="B19" s="1152">
        <v>0.06</v>
      </c>
      <c r="C19" s="1147" t="s">
        <v>838</v>
      </c>
      <c r="D19" s="1148"/>
      <c r="E19" s="1149"/>
      <c r="F19" s="181"/>
      <c r="G19" s="181"/>
      <c r="H19" s="181"/>
      <c r="I19" s="181"/>
      <c r="J19" s="112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row>
    <row r="20" spans="1:699" ht="15.75" customHeight="1" x14ac:dyDescent="0.2">
      <c r="A20" s="1121"/>
      <c r="B20" s="181"/>
      <c r="C20" s="181"/>
      <c r="D20" s="1153"/>
      <c r="E20" s="181"/>
      <c r="F20" s="181"/>
      <c r="G20" s="181"/>
      <c r="H20" s="181"/>
      <c r="I20" s="181"/>
      <c r="J20" s="112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row>
    <row r="21" spans="1:699" ht="15.75" customHeight="1" x14ac:dyDescent="0.2">
      <c r="A21" s="1121"/>
      <c r="B21" s="49" t="s">
        <v>18</v>
      </c>
      <c r="C21" s="181"/>
      <c r="D21" s="181"/>
      <c r="E21" s="181"/>
      <c r="F21" s="181"/>
      <c r="G21" s="181"/>
      <c r="H21" s="181"/>
      <c r="I21" s="181"/>
      <c r="J21" s="1120"/>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row>
    <row r="22" spans="1:699" ht="15.75" customHeight="1" x14ac:dyDescent="0.2">
      <c r="A22" s="1121"/>
      <c r="B22" s="181" t="s">
        <v>839</v>
      </c>
      <c r="C22" s="181"/>
      <c r="D22" s="181"/>
      <c r="E22" s="181"/>
      <c r="F22" s="181"/>
      <c r="G22" s="181"/>
      <c r="H22" s="181"/>
      <c r="I22" s="181"/>
      <c r="J22" s="112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row>
    <row r="23" spans="1:699" ht="15.75" customHeight="1" x14ac:dyDescent="0.2">
      <c r="A23" s="1121"/>
      <c r="B23" s="181" t="s">
        <v>97</v>
      </c>
      <c r="C23" s="181"/>
      <c r="D23" s="181"/>
      <c r="E23" s="181"/>
      <c r="F23" s="181"/>
      <c r="G23" s="181"/>
      <c r="H23" s="181"/>
      <c r="I23" s="181"/>
      <c r="J23" s="112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row>
    <row r="24" spans="1:699" ht="15.75" customHeight="1" x14ac:dyDescent="0.2">
      <c r="A24" s="1121"/>
      <c r="B24" s="181"/>
      <c r="C24" s="181"/>
      <c r="D24" s="181"/>
      <c r="E24" s="181"/>
      <c r="F24" s="181"/>
      <c r="G24" s="181"/>
      <c r="H24" s="181"/>
      <c r="I24" s="181"/>
      <c r="J24" s="112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row>
    <row r="25" spans="1:699" ht="15.75" customHeight="1" x14ac:dyDescent="0.2">
      <c r="A25" s="10">
        <v>1</v>
      </c>
      <c r="B25" s="45" t="s">
        <v>46</v>
      </c>
      <c r="C25" s="181"/>
      <c r="D25" s="181"/>
      <c r="E25" s="181"/>
      <c r="F25" s="181"/>
      <c r="G25" s="181"/>
      <c r="H25" s="181"/>
      <c r="I25" s="181"/>
      <c r="J25" s="112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row>
    <row r="26" spans="1:699" ht="15.75" customHeight="1" x14ac:dyDescent="0.2">
      <c r="A26" s="10"/>
      <c r="B26" s="45" t="s">
        <v>840</v>
      </c>
      <c r="C26" s="181"/>
      <c r="D26" s="181"/>
      <c r="E26" s="181"/>
      <c r="F26" s="181"/>
      <c r="G26" s="181"/>
      <c r="H26" s="181"/>
      <c r="I26" s="181"/>
      <c r="J26" s="112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row>
    <row r="27" spans="1:699" ht="15.75" customHeight="1" x14ac:dyDescent="0.2">
      <c r="A27" s="10"/>
      <c r="B27" s="45"/>
      <c r="C27" s="181"/>
      <c r="D27" s="181"/>
      <c r="E27" s="181"/>
      <c r="F27" s="181"/>
      <c r="G27" s="181"/>
      <c r="H27" s="181"/>
      <c r="I27" s="181"/>
      <c r="J27" s="112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row>
    <row r="28" spans="1:699" ht="15.75" customHeight="1" x14ac:dyDescent="0.2">
      <c r="A28" s="10">
        <v>0.5</v>
      </c>
      <c r="B28" s="45" t="s">
        <v>21</v>
      </c>
      <c r="C28" s="181"/>
      <c r="D28" s="181"/>
      <c r="E28" s="181"/>
      <c r="F28" s="181"/>
      <c r="G28" s="181"/>
      <c r="H28" s="181"/>
      <c r="I28" s="181"/>
      <c r="J28" s="112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row>
    <row r="29" spans="1:699" ht="15.75" customHeight="1" x14ac:dyDescent="0.2">
      <c r="A29" s="10"/>
      <c r="B29" s="45" t="s">
        <v>841</v>
      </c>
      <c r="C29" s="181"/>
      <c r="D29" s="181"/>
      <c r="E29" s="181"/>
      <c r="F29" s="181"/>
      <c r="G29" s="181"/>
      <c r="H29" s="181"/>
      <c r="I29" s="181"/>
      <c r="J29" s="112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row>
    <row r="30" spans="1:699" ht="15.75" customHeight="1" x14ac:dyDescent="0.2">
      <c r="A30" s="10"/>
      <c r="B30" s="49" t="s">
        <v>842</v>
      </c>
      <c r="C30" s="181"/>
      <c r="D30" s="181"/>
      <c r="E30" s="181"/>
      <c r="F30" s="181"/>
      <c r="G30" s="181"/>
      <c r="H30" s="181"/>
      <c r="I30" s="181"/>
      <c r="J30" s="112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row>
    <row r="31" spans="1:699" ht="15.75" customHeight="1" x14ac:dyDescent="0.2">
      <c r="A31" s="10"/>
      <c r="B31" s="49" t="s">
        <v>843</v>
      </c>
      <c r="C31" s="181"/>
      <c r="D31" s="181"/>
      <c r="E31" s="181"/>
      <c r="F31" s="181"/>
      <c r="G31" s="181"/>
      <c r="H31" s="181"/>
      <c r="I31" s="181"/>
      <c r="J31" s="112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row>
    <row r="32" spans="1:699" ht="15.75" customHeight="1" x14ac:dyDescent="0.2">
      <c r="A32" s="10"/>
      <c r="B32" s="45"/>
      <c r="C32" s="181"/>
      <c r="D32" s="181"/>
      <c r="E32" s="181"/>
      <c r="F32" s="181"/>
      <c r="G32" s="181"/>
      <c r="H32" s="181"/>
      <c r="I32" s="181"/>
      <c r="J32" s="112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row>
    <row r="33" spans="1:699" s="82" customFormat="1" ht="14.25" x14ac:dyDescent="0.2">
      <c r="A33" s="10">
        <v>1</v>
      </c>
      <c r="B33" s="45" t="s">
        <v>52</v>
      </c>
      <c r="C33" s="181"/>
      <c r="D33" s="181"/>
      <c r="E33" s="181"/>
      <c r="F33" s="181"/>
      <c r="G33" s="181"/>
      <c r="H33" s="181"/>
      <c r="I33" s="181"/>
      <c r="J33" s="112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1"/>
      <c r="BB33" s="201"/>
      <c r="BC33" s="201"/>
      <c r="BD33" s="201"/>
      <c r="BE33" s="201"/>
      <c r="BF33" s="201"/>
      <c r="BG33" s="201"/>
      <c r="BH33" s="201"/>
      <c r="BI33" s="201"/>
      <c r="BJ33" s="201"/>
      <c r="BK33" s="201"/>
      <c r="BL33" s="201"/>
      <c r="BM33" s="201"/>
      <c r="BN33" s="201"/>
      <c r="BO33" s="201"/>
      <c r="BP33" s="201"/>
      <c r="BQ33" s="201"/>
      <c r="BR33" s="201"/>
      <c r="BS33" s="201"/>
      <c r="BT33" s="201"/>
      <c r="BU33" s="201"/>
      <c r="BV33" s="201"/>
      <c r="BW33" s="201"/>
      <c r="BX33" s="201"/>
      <c r="BY33" s="201"/>
      <c r="BZ33" s="201"/>
      <c r="CA33" s="201"/>
      <c r="CB33" s="201"/>
      <c r="CC33" s="201"/>
      <c r="CD33" s="201"/>
      <c r="CE33" s="201"/>
      <c r="CF33" s="201"/>
      <c r="CG33" s="201"/>
      <c r="CH33" s="201"/>
      <c r="CI33" s="201"/>
      <c r="CJ33" s="201"/>
      <c r="CK33" s="201"/>
      <c r="CL33" s="201"/>
      <c r="CM33" s="201"/>
      <c r="CN33" s="201"/>
      <c r="CO33" s="201"/>
      <c r="CP33" s="201"/>
      <c r="CQ33" s="201"/>
      <c r="CR33" s="201"/>
      <c r="CS33" s="201"/>
      <c r="CT33" s="201"/>
      <c r="CU33" s="201"/>
      <c r="CV33" s="201"/>
      <c r="CW33" s="201"/>
      <c r="CX33" s="201"/>
      <c r="CY33" s="201"/>
      <c r="CZ33" s="201"/>
      <c r="DA33" s="201"/>
      <c r="DB33" s="201"/>
      <c r="DC33" s="201"/>
      <c r="DD33" s="201"/>
      <c r="DE33" s="201"/>
      <c r="DF33" s="201"/>
      <c r="DG33" s="201"/>
      <c r="DH33" s="201"/>
      <c r="DI33" s="201"/>
      <c r="DJ33" s="201"/>
      <c r="DK33" s="201"/>
      <c r="DL33" s="201"/>
      <c r="DM33" s="201"/>
      <c r="DN33" s="201"/>
      <c r="DO33" s="201"/>
      <c r="DP33" s="201"/>
      <c r="DQ33" s="201"/>
      <c r="DR33" s="201"/>
      <c r="DS33" s="201"/>
      <c r="DT33" s="201"/>
      <c r="DU33" s="201"/>
      <c r="DV33" s="201"/>
      <c r="DW33" s="201"/>
      <c r="DX33" s="201"/>
      <c r="DY33" s="201"/>
      <c r="DZ33" s="201"/>
      <c r="EA33" s="201"/>
      <c r="EB33" s="201"/>
      <c r="EC33" s="201"/>
      <c r="ED33" s="201"/>
      <c r="EE33" s="201"/>
      <c r="EF33" s="201"/>
      <c r="EG33" s="201"/>
      <c r="EH33" s="201"/>
      <c r="EI33" s="201"/>
      <c r="EJ33" s="201"/>
      <c r="EK33" s="201"/>
      <c r="EL33" s="201"/>
      <c r="EM33" s="201"/>
      <c r="EN33" s="201"/>
      <c r="EO33" s="201"/>
      <c r="EP33" s="201"/>
      <c r="EQ33" s="201"/>
      <c r="ER33" s="201"/>
      <c r="ES33" s="201"/>
      <c r="ET33" s="201"/>
      <c r="EU33" s="201"/>
      <c r="EV33" s="201"/>
      <c r="EW33" s="201"/>
      <c r="EX33" s="201"/>
      <c r="EY33" s="201"/>
      <c r="EZ33" s="201"/>
      <c r="FA33" s="201"/>
      <c r="FB33" s="201"/>
      <c r="FC33" s="201"/>
      <c r="FD33" s="201"/>
      <c r="FE33" s="201"/>
      <c r="FF33" s="201"/>
      <c r="FG33" s="201"/>
      <c r="FH33" s="201"/>
      <c r="FI33" s="201"/>
      <c r="FJ33" s="201"/>
      <c r="FK33" s="201"/>
      <c r="FL33" s="201"/>
      <c r="FM33" s="201"/>
      <c r="FN33" s="201"/>
      <c r="FO33" s="201"/>
      <c r="FP33" s="201"/>
      <c r="FQ33" s="201"/>
      <c r="FR33" s="201"/>
      <c r="FS33" s="201"/>
      <c r="FT33" s="201"/>
      <c r="FU33" s="201"/>
      <c r="FV33" s="201"/>
      <c r="FW33" s="201"/>
      <c r="FX33" s="201"/>
      <c r="FY33" s="201"/>
      <c r="FZ33" s="201"/>
      <c r="GA33" s="201"/>
      <c r="GB33" s="201"/>
      <c r="GC33" s="201"/>
      <c r="GD33" s="201"/>
      <c r="GE33" s="201"/>
      <c r="GF33" s="201"/>
      <c r="GG33" s="201"/>
      <c r="GH33" s="201"/>
      <c r="GI33" s="201"/>
      <c r="GJ33" s="201"/>
      <c r="GK33" s="201"/>
      <c r="GL33" s="201"/>
      <c r="GM33" s="201"/>
      <c r="GN33" s="201"/>
      <c r="GO33" s="201"/>
      <c r="GP33" s="201"/>
      <c r="GQ33" s="201"/>
      <c r="GR33" s="201"/>
      <c r="GS33" s="201"/>
      <c r="GT33" s="201"/>
      <c r="GU33" s="201"/>
      <c r="GV33" s="201"/>
      <c r="GW33" s="201"/>
      <c r="GX33" s="201"/>
      <c r="GY33" s="201"/>
      <c r="GZ33" s="201"/>
      <c r="HA33" s="201"/>
      <c r="HB33" s="201"/>
      <c r="HC33" s="201"/>
      <c r="HD33" s="201"/>
      <c r="HE33" s="201"/>
      <c r="HF33" s="201"/>
      <c r="HG33" s="201"/>
      <c r="HH33" s="201"/>
      <c r="HI33" s="201"/>
      <c r="HJ33" s="201"/>
      <c r="HK33" s="201"/>
      <c r="HL33" s="201"/>
      <c r="HM33" s="201"/>
      <c r="HN33" s="201"/>
      <c r="HO33" s="201"/>
      <c r="HP33" s="201"/>
      <c r="HQ33" s="201"/>
      <c r="HR33" s="201"/>
      <c r="HS33" s="201"/>
      <c r="HT33" s="201"/>
      <c r="HU33" s="201"/>
      <c r="HV33" s="201"/>
      <c r="HW33" s="201"/>
      <c r="HX33" s="201"/>
      <c r="HY33" s="201"/>
      <c r="HZ33" s="201"/>
      <c r="IA33" s="201"/>
      <c r="IB33" s="201"/>
      <c r="IC33" s="201"/>
      <c r="ID33" s="201"/>
      <c r="IE33" s="201"/>
      <c r="IF33" s="201"/>
      <c r="IG33" s="201"/>
      <c r="IH33" s="201"/>
      <c r="II33" s="201"/>
      <c r="IJ33" s="201"/>
      <c r="IK33" s="201"/>
      <c r="IL33" s="201"/>
      <c r="IM33" s="201"/>
      <c r="IN33" s="201"/>
      <c r="IO33" s="201"/>
      <c r="IP33" s="201"/>
      <c r="IQ33" s="201"/>
      <c r="IR33" s="201"/>
      <c r="IS33" s="201"/>
      <c r="IT33" s="201"/>
      <c r="IU33" s="201"/>
      <c r="IV33" s="201"/>
      <c r="IW33" s="201"/>
      <c r="IX33" s="201"/>
      <c r="IY33" s="201"/>
      <c r="IZ33" s="201"/>
      <c r="JA33" s="201"/>
      <c r="JB33" s="201"/>
      <c r="JC33" s="201"/>
      <c r="JD33" s="201"/>
      <c r="JE33" s="201"/>
      <c r="JF33" s="201"/>
      <c r="JG33" s="201"/>
      <c r="JH33" s="201"/>
      <c r="JI33" s="201"/>
      <c r="JJ33" s="201"/>
      <c r="JK33" s="201"/>
      <c r="JL33" s="201"/>
      <c r="JM33" s="201"/>
      <c r="JN33" s="201"/>
      <c r="JO33" s="201"/>
      <c r="JP33" s="201"/>
      <c r="JQ33" s="201"/>
      <c r="JR33" s="201"/>
      <c r="JS33" s="201"/>
      <c r="JT33" s="201"/>
      <c r="JU33" s="201"/>
      <c r="JV33" s="201"/>
      <c r="JW33" s="201"/>
      <c r="JX33" s="201"/>
      <c r="JY33" s="201"/>
      <c r="JZ33" s="201"/>
      <c r="KA33" s="201"/>
      <c r="KB33" s="201"/>
      <c r="KC33" s="201"/>
      <c r="KD33" s="201"/>
      <c r="KE33" s="201"/>
      <c r="KF33" s="201"/>
      <c r="KG33" s="201"/>
      <c r="KH33" s="201"/>
      <c r="KI33" s="201"/>
      <c r="KJ33" s="201"/>
      <c r="KK33" s="201"/>
      <c r="KL33" s="201"/>
      <c r="KM33" s="201"/>
      <c r="KN33" s="201"/>
      <c r="KO33" s="201"/>
      <c r="KP33" s="201"/>
      <c r="KQ33" s="201"/>
      <c r="KR33" s="201"/>
      <c r="KS33" s="201"/>
      <c r="KT33" s="201"/>
      <c r="KU33" s="201"/>
      <c r="KV33" s="201"/>
      <c r="KW33" s="201"/>
      <c r="KX33" s="201"/>
      <c r="KY33" s="201"/>
      <c r="KZ33" s="201"/>
      <c r="LA33" s="201"/>
      <c r="LB33" s="201"/>
      <c r="LC33" s="201"/>
      <c r="LD33" s="201"/>
      <c r="LE33" s="201"/>
      <c r="LF33" s="201"/>
      <c r="LG33" s="201"/>
      <c r="LH33" s="201"/>
      <c r="LI33" s="201"/>
      <c r="LJ33" s="201"/>
      <c r="LK33" s="201"/>
      <c r="LL33" s="201"/>
      <c r="LM33" s="201"/>
      <c r="LN33" s="201"/>
      <c r="LO33" s="201"/>
      <c r="LP33" s="201"/>
      <c r="LQ33" s="201"/>
      <c r="LR33" s="201"/>
      <c r="LS33" s="201"/>
      <c r="LT33" s="201"/>
      <c r="LU33" s="201"/>
      <c r="LV33" s="201"/>
      <c r="LW33" s="201"/>
      <c r="LX33" s="201"/>
      <c r="LY33" s="201"/>
      <c r="LZ33" s="201"/>
      <c r="MA33" s="201"/>
      <c r="MB33" s="201"/>
      <c r="MC33" s="201"/>
      <c r="MD33" s="201"/>
      <c r="ME33" s="201"/>
      <c r="MF33" s="201"/>
      <c r="MG33" s="201"/>
      <c r="MH33" s="201"/>
      <c r="MI33" s="201"/>
      <c r="MJ33" s="201"/>
      <c r="MK33" s="201"/>
      <c r="ML33" s="201"/>
      <c r="MM33" s="201"/>
      <c r="MN33" s="201"/>
      <c r="MO33" s="201"/>
      <c r="MP33" s="201"/>
      <c r="MQ33" s="201"/>
      <c r="MR33" s="201"/>
      <c r="MS33" s="201"/>
      <c r="MT33" s="201"/>
      <c r="MU33" s="201"/>
      <c r="MV33" s="201"/>
      <c r="MW33" s="201"/>
      <c r="MX33" s="201"/>
      <c r="MY33" s="201"/>
      <c r="MZ33" s="201"/>
      <c r="NA33" s="201"/>
      <c r="NB33" s="201"/>
      <c r="NC33" s="201"/>
      <c r="ND33" s="201"/>
      <c r="NE33" s="201"/>
      <c r="NF33" s="201"/>
      <c r="NG33" s="201"/>
      <c r="NH33" s="201"/>
      <c r="NI33" s="201"/>
      <c r="NJ33" s="201"/>
      <c r="NK33" s="201"/>
      <c r="NL33" s="201"/>
      <c r="NM33" s="201"/>
      <c r="NN33" s="201"/>
      <c r="NO33" s="201"/>
      <c r="NP33" s="201"/>
      <c r="NQ33" s="201"/>
      <c r="NR33" s="201"/>
      <c r="NS33" s="201"/>
      <c r="NT33" s="201"/>
      <c r="NU33" s="201"/>
      <c r="NV33" s="201"/>
      <c r="NW33" s="201"/>
      <c r="NX33" s="201"/>
      <c r="NY33" s="201"/>
      <c r="NZ33" s="201"/>
      <c r="OA33" s="201"/>
      <c r="OB33" s="201"/>
      <c r="OC33" s="201"/>
      <c r="OD33" s="201"/>
      <c r="OE33" s="201"/>
      <c r="OF33" s="201"/>
      <c r="OG33" s="201"/>
      <c r="OH33" s="201"/>
      <c r="OI33" s="201"/>
      <c r="OJ33" s="201"/>
      <c r="OK33" s="201"/>
      <c r="OL33" s="201"/>
      <c r="OM33" s="201"/>
      <c r="ON33" s="201"/>
      <c r="OO33" s="201"/>
      <c r="OP33" s="201"/>
      <c r="OQ33" s="201"/>
      <c r="OR33" s="201"/>
      <c r="OS33" s="201"/>
      <c r="OT33" s="201"/>
      <c r="OU33" s="201"/>
      <c r="OV33" s="201"/>
      <c r="OW33" s="201"/>
      <c r="OX33" s="201"/>
      <c r="OY33" s="201"/>
      <c r="OZ33" s="201"/>
      <c r="PA33" s="201"/>
      <c r="PB33" s="201"/>
      <c r="PC33" s="201"/>
      <c r="PD33" s="201"/>
      <c r="PE33" s="201"/>
      <c r="PF33" s="201"/>
      <c r="PG33" s="201"/>
      <c r="PH33" s="201"/>
      <c r="PI33" s="201"/>
      <c r="PJ33" s="201"/>
      <c r="PK33" s="201"/>
      <c r="PL33" s="201"/>
      <c r="PM33" s="201"/>
      <c r="PN33" s="201"/>
      <c r="PO33" s="201"/>
      <c r="PP33" s="201"/>
      <c r="PQ33" s="201"/>
      <c r="PR33" s="201"/>
      <c r="PS33" s="201"/>
      <c r="PT33" s="201"/>
      <c r="PU33" s="201"/>
      <c r="PV33" s="201"/>
      <c r="PW33" s="201"/>
      <c r="PX33" s="201"/>
      <c r="PY33" s="201"/>
      <c r="PZ33" s="201"/>
      <c r="QA33" s="201"/>
      <c r="QB33" s="201"/>
      <c r="QC33" s="201"/>
      <c r="QD33" s="201"/>
      <c r="QE33" s="201"/>
      <c r="QF33" s="201"/>
      <c r="QG33" s="201"/>
      <c r="QH33" s="201"/>
      <c r="QI33" s="201"/>
      <c r="QJ33" s="201"/>
      <c r="QK33" s="201"/>
      <c r="QL33" s="201"/>
      <c r="QM33" s="201"/>
      <c r="QN33" s="201"/>
      <c r="QO33" s="201"/>
      <c r="QP33" s="201"/>
      <c r="QQ33" s="201"/>
      <c r="QR33" s="201"/>
      <c r="QS33" s="201"/>
      <c r="QT33" s="201"/>
      <c r="QU33" s="201"/>
      <c r="QV33" s="201"/>
      <c r="QW33" s="201"/>
      <c r="QX33" s="201"/>
      <c r="QY33" s="201"/>
      <c r="QZ33" s="201"/>
      <c r="RA33" s="201"/>
      <c r="RB33" s="201"/>
      <c r="RC33" s="201"/>
      <c r="RD33" s="201"/>
      <c r="RE33" s="201"/>
      <c r="RF33" s="201"/>
      <c r="RG33" s="201"/>
      <c r="RH33" s="201"/>
      <c r="RI33" s="201"/>
      <c r="RJ33" s="201"/>
      <c r="RK33" s="201"/>
      <c r="RL33" s="201"/>
      <c r="RM33" s="201"/>
      <c r="RN33" s="201"/>
      <c r="RO33" s="201"/>
      <c r="RP33" s="201"/>
      <c r="RQ33" s="201"/>
      <c r="RR33" s="201"/>
      <c r="RS33" s="201"/>
      <c r="RT33" s="201"/>
      <c r="RU33" s="201"/>
      <c r="RV33" s="201"/>
      <c r="RW33" s="201"/>
      <c r="RX33" s="201"/>
      <c r="RY33" s="201"/>
      <c r="RZ33" s="201"/>
      <c r="SA33" s="201"/>
      <c r="SB33" s="201"/>
      <c r="SC33" s="201"/>
      <c r="SD33" s="201"/>
      <c r="SE33" s="201"/>
      <c r="SF33" s="201"/>
      <c r="SG33" s="201"/>
      <c r="SH33" s="201"/>
      <c r="SI33" s="201"/>
      <c r="SJ33" s="201"/>
      <c r="SK33" s="201"/>
      <c r="SL33" s="201"/>
      <c r="SM33" s="201"/>
      <c r="SN33" s="201"/>
      <c r="SO33" s="201"/>
      <c r="SP33" s="201"/>
      <c r="SQ33" s="201"/>
      <c r="SR33" s="201"/>
      <c r="SS33" s="201"/>
      <c r="ST33" s="201"/>
      <c r="SU33" s="201"/>
      <c r="SV33" s="201"/>
      <c r="SW33" s="201"/>
      <c r="SX33" s="201"/>
      <c r="SY33" s="201"/>
      <c r="SZ33" s="201"/>
      <c r="TA33" s="201"/>
      <c r="TB33" s="201"/>
      <c r="TC33" s="201"/>
      <c r="TD33" s="201"/>
      <c r="TE33" s="201"/>
      <c r="TF33" s="201"/>
      <c r="TG33" s="201"/>
      <c r="TH33" s="201"/>
      <c r="TI33" s="201"/>
      <c r="TJ33" s="201"/>
      <c r="TK33" s="201"/>
      <c r="TL33" s="201"/>
      <c r="TM33" s="201"/>
      <c r="TN33" s="201"/>
      <c r="TO33" s="201"/>
      <c r="TP33" s="201"/>
      <c r="TQ33" s="201"/>
      <c r="TR33" s="201"/>
      <c r="TS33" s="201"/>
      <c r="TT33" s="201"/>
      <c r="TU33" s="201"/>
      <c r="TV33" s="201"/>
      <c r="TW33" s="201"/>
      <c r="TX33" s="201"/>
      <c r="TY33" s="201"/>
      <c r="TZ33" s="201"/>
      <c r="UA33" s="201"/>
      <c r="UB33" s="201"/>
      <c r="UC33" s="201"/>
      <c r="UD33" s="201"/>
      <c r="UE33" s="201"/>
      <c r="UF33" s="201"/>
      <c r="UG33" s="201"/>
      <c r="UH33" s="201"/>
      <c r="UI33" s="201"/>
      <c r="UJ33" s="201"/>
      <c r="UK33" s="201"/>
      <c r="UL33" s="201"/>
      <c r="UM33" s="201"/>
      <c r="UN33" s="201"/>
      <c r="UO33" s="201"/>
      <c r="UP33" s="201"/>
      <c r="UQ33" s="201"/>
      <c r="UR33" s="201"/>
      <c r="US33" s="201"/>
      <c r="UT33" s="201"/>
      <c r="UU33" s="201"/>
      <c r="UV33" s="201"/>
      <c r="UW33" s="201"/>
      <c r="UX33" s="201"/>
      <c r="UY33" s="201"/>
      <c r="UZ33" s="201"/>
      <c r="VA33" s="201"/>
      <c r="VB33" s="201"/>
      <c r="VC33" s="201"/>
      <c r="VD33" s="201"/>
      <c r="VE33" s="201"/>
      <c r="VF33" s="201"/>
      <c r="VG33" s="201"/>
      <c r="VH33" s="201"/>
      <c r="VI33" s="201"/>
      <c r="VJ33" s="201"/>
      <c r="VK33" s="201"/>
      <c r="VL33" s="201"/>
      <c r="VM33" s="201"/>
      <c r="VN33" s="201"/>
      <c r="VO33" s="201"/>
      <c r="VP33" s="201"/>
      <c r="VQ33" s="201"/>
      <c r="VR33" s="201"/>
      <c r="VS33" s="201"/>
      <c r="VT33" s="201"/>
      <c r="VU33" s="201"/>
      <c r="VV33" s="201"/>
      <c r="VW33" s="201"/>
      <c r="VX33" s="201"/>
      <c r="VY33" s="201"/>
      <c r="VZ33" s="201"/>
      <c r="WA33" s="201"/>
      <c r="WB33" s="201"/>
      <c r="WC33" s="201"/>
      <c r="WD33" s="201"/>
      <c r="WE33" s="201"/>
      <c r="WF33" s="201"/>
      <c r="WG33" s="201"/>
      <c r="WH33" s="201"/>
      <c r="WI33" s="201"/>
      <c r="WJ33" s="201"/>
      <c r="WK33" s="201"/>
      <c r="WL33" s="201"/>
      <c r="WM33" s="201"/>
      <c r="WN33" s="201"/>
      <c r="WO33" s="201"/>
      <c r="WP33" s="201"/>
      <c r="WQ33" s="201"/>
      <c r="WR33" s="201"/>
      <c r="WS33" s="201"/>
      <c r="WT33" s="201"/>
      <c r="WU33" s="201"/>
      <c r="WV33" s="201"/>
      <c r="WW33" s="201"/>
      <c r="WX33" s="201"/>
      <c r="WY33" s="201"/>
      <c r="WZ33" s="201"/>
      <c r="XA33" s="201"/>
      <c r="XB33" s="201"/>
      <c r="XC33" s="201"/>
      <c r="XD33" s="201"/>
      <c r="XE33" s="201"/>
      <c r="XF33" s="201"/>
      <c r="XG33" s="201"/>
      <c r="XH33" s="201"/>
      <c r="XI33" s="201"/>
      <c r="XJ33" s="201"/>
      <c r="XK33" s="201"/>
      <c r="XL33" s="201"/>
      <c r="XM33" s="201"/>
      <c r="XN33" s="201"/>
      <c r="XO33" s="201"/>
      <c r="XP33" s="201"/>
      <c r="XQ33" s="201"/>
      <c r="XR33" s="201"/>
      <c r="XS33" s="201"/>
      <c r="XT33" s="201"/>
      <c r="XU33" s="201"/>
      <c r="XV33" s="201"/>
      <c r="XW33" s="201"/>
      <c r="XX33" s="201"/>
      <c r="XY33" s="201"/>
      <c r="XZ33" s="201"/>
      <c r="YA33" s="201"/>
      <c r="YB33" s="201"/>
      <c r="YC33" s="201"/>
      <c r="YD33" s="201"/>
      <c r="YE33" s="201"/>
      <c r="YF33" s="201"/>
      <c r="YG33" s="201"/>
      <c r="YH33" s="201"/>
      <c r="YI33" s="201"/>
      <c r="YJ33" s="201"/>
      <c r="YK33" s="201"/>
      <c r="YL33" s="201"/>
      <c r="YM33" s="201"/>
      <c r="YN33" s="201"/>
      <c r="YO33" s="201"/>
      <c r="YP33" s="201"/>
      <c r="YQ33" s="201"/>
      <c r="YR33" s="201"/>
      <c r="YS33" s="201"/>
      <c r="YT33" s="201"/>
      <c r="YU33" s="201"/>
      <c r="YV33" s="201"/>
      <c r="YW33" s="201"/>
      <c r="YX33" s="201"/>
      <c r="YY33" s="201"/>
      <c r="YZ33" s="201"/>
      <c r="ZA33" s="201"/>
      <c r="ZB33" s="201"/>
      <c r="ZC33" s="201"/>
      <c r="ZD33" s="201"/>
      <c r="ZE33" s="201"/>
      <c r="ZF33" s="201"/>
      <c r="ZG33" s="201"/>
      <c r="ZH33" s="201"/>
      <c r="ZI33" s="201"/>
      <c r="ZJ33" s="201"/>
      <c r="ZK33" s="201"/>
      <c r="ZL33" s="201"/>
      <c r="ZM33" s="201"/>
      <c r="ZN33" s="201"/>
      <c r="ZO33" s="201"/>
      <c r="ZP33" s="201"/>
      <c r="ZQ33" s="201"/>
      <c r="ZR33" s="201"/>
      <c r="ZS33" s="201"/>
      <c r="ZT33" s="201"/>
      <c r="ZU33" s="201"/>
      <c r="ZV33" s="201"/>
      <c r="ZW33" s="201"/>
    </row>
    <row r="34" spans="1:699" s="82" customFormat="1" ht="15.75" customHeight="1" x14ac:dyDescent="0.2">
      <c r="A34" s="10"/>
      <c r="B34" s="45" t="s">
        <v>844</v>
      </c>
      <c r="C34" s="181"/>
      <c r="D34" s="181"/>
      <c r="E34" s="181"/>
      <c r="F34" s="181"/>
      <c r="G34" s="181"/>
      <c r="H34" s="181"/>
      <c r="I34" s="181"/>
      <c r="J34" s="112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1"/>
      <c r="GA34" s="201"/>
      <c r="GB34" s="201"/>
      <c r="GC34" s="201"/>
      <c r="GD34" s="201"/>
      <c r="GE34" s="201"/>
      <c r="GF34" s="201"/>
      <c r="GG34" s="201"/>
      <c r="GH34" s="201"/>
      <c r="GI34" s="201"/>
      <c r="GJ34" s="201"/>
      <c r="GK34" s="201"/>
      <c r="GL34" s="201"/>
      <c r="GM34" s="201"/>
      <c r="GN34" s="201"/>
      <c r="GO34" s="201"/>
      <c r="GP34" s="201"/>
      <c r="GQ34" s="201"/>
      <c r="GR34" s="201"/>
      <c r="GS34" s="201"/>
      <c r="GT34" s="201"/>
      <c r="GU34" s="201"/>
      <c r="GV34" s="201"/>
      <c r="GW34" s="201"/>
      <c r="GX34" s="201"/>
      <c r="GY34" s="201"/>
      <c r="GZ34" s="201"/>
      <c r="HA34" s="201"/>
      <c r="HB34" s="201"/>
      <c r="HC34" s="201"/>
      <c r="HD34" s="201"/>
      <c r="HE34" s="201"/>
      <c r="HF34" s="201"/>
      <c r="HG34" s="201"/>
      <c r="HH34" s="201"/>
      <c r="HI34" s="201"/>
      <c r="HJ34" s="201"/>
      <c r="HK34" s="201"/>
      <c r="HL34" s="201"/>
      <c r="HM34" s="201"/>
      <c r="HN34" s="201"/>
      <c r="HO34" s="201"/>
      <c r="HP34" s="201"/>
      <c r="HQ34" s="201"/>
      <c r="HR34" s="201"/>
      <c r="HS34" s="201"/>
      <c r="HT34" s="201"/>
      <c r="HU34" s="201"/>
      <c r="HV34" s="201"/>
      <c r="HW34" s="201"/>
      <c r="HX34" s="201"/>
      <c r="HY34" s="201"/>
      <c r="HZ34" s="201"/>
      <c r="IA34" s="201"/>
      <c r="IB34" s="201"/>
      <c r="IC34" s="201"/>
      <c r="ID34" s="201"/>
      <c r="IE34" s="201"/>
      <c r="IF34" s="201"/>
      <c r="IG34" s="201"/>
      <c r="IH34" s="201"/>
      <c r="II34" s="201"/>
      <c r="IJ34" s="201"/>
      <c r="IK34" s="201"/>
      <c r="IL34" s="201"/>
      <c r="IM34" s="201"/>
      <c r="IN34" s="201"/>
      <c r="IO34" s="201"/>
      <c r="IP34" s="201"/>
      <c r="IQ34" s="201"/>
      <c r="IR34" s="201"/>
      <c r="IS34" s="201"/>
      <c r="IT34" s="201"/>
      <c r="IU34" s="201"/>
      <c r="IV34" s="201"/>
      <c r="IW34" s="201"/>
      <c r="IX34" s="201"/>
      <c r="IY34" s="201"/>
      <c r="IZ34" s="201"/>
      <c r="JA34" s="201"/>
      <c r="JB34" s="201"/>
      <c r="JC34" s="201"/>
      <c r="JD34" s="201"/>
      <c r="JE34" s="201"/>
      <c r="JF34" s="201"/>
      <c r="JG34" s="201"/>
      <c r="JH34" s="201"/>
      <c r="JI34" s="201"/>
      <c r="JJ34" s="201"/>
      <c r="JK34" s="201"/>
      <c r="JL34" s="201"/>
      <c r="JM34" s="201"/>
      <c r="JN34" s="201"/>
      <c r="JO34" s="201"/>
      <c r="JP34" s="201"/>
      <c r="JQ34" s="201"/>
      <c r="JR34" s="201"/>
      <c r="JS34" s="201"/>
      <c r="JT34" s="201"/>
      <c r="JU34" s="201"/>
      <c r="JV34" s="201"/>
      <c r="JW34" s="201"/>
      <c r="JX34" s="201"/>
      <c r="JY34" s="201"/>
      <c r="JZ34" s="201"/>
      <c r="KA34" s="201"/>
      <c r="KB34" s="201"/>
      <c r="KC34" s="201"/>
      <c r="KD34" s="201"/>
      <c r="KE34" s="201"/>
      <c r="KF34" s="201"/>
      <c r="KG34" s="201"/>
      <c r="KH34" s="201"/>
      <c r="KI34" s="201"/>
      <c r="KJ34" s="201"/>
      <c r="KK34" s="201"/>
      <c r="KL34" s="201"/>
      <c r="KM34" s="201"/>
      <c r="KN34" s="201"/>
      <c r="KO34" s="201"/>
      <c r="KP34" s="201"/>
      <c r="KQ34" s="201"/>
      <c r="KR34" s="201"/>
      <c r="KS34" s="201"/>
      <c r="KT34" s="201"/>
      <c r="KU34" s="201"/>
      <c r="KV34" s="201"/>
      <c r="KW34" s="201"/>
      <c r="KX34" s="201"/>
      <c r="KY34" s="201"/>
      <c r="KZ34" s="201"/>
      <c r="LA34" s="201"/>
      <c r="LB34" s="201"/>
      <c r="LC34" s="201"/>
      <c r="LD34" s="201"/>
      <c r="LE34" s="201"/>
      <c r="LF34" s="201"/>
      <c r="LG34" s="201"/>
      <c r="LH34" s="201"/>
      <c r="LI34" s="201"/>
      <c r="LJ34" s="201"/>
      <c r="LK34" s="201"/>
      <c r="LL34" s="201"/>
      <c r="LM34" s="201"/>
      <c r="LN34" s="201"/>
      <c r="LO34" s="201"/>
      <c r="LP34" s="201"/>
      <c r="LQ34" s="201"/>
      <c r="LR34" s="201"/>
      <c r="LS34" s="201"/>
      <c r="LT34" s="201"/>
      <c r="LU34" s="201"/>
      <c r="LV34" s="201"/>
      <c r="LW34" s="201"/>
      <c r="LX34" s="201"/>
      <c r="LY34" s="201"/>
      <c r="LZ34" s="201"/>
      <c r="MA34" s="201"/>
      <c r="MB34" s="201"/>
      <c r="MC34" s="201"/>
      <c r="MD34" s="201"/>
      <c r="ME34" s="201"/>
      <c r="MF34" s="201"/>
      <c r="MG34" s="201"/>
      <c r="MH34" s="201"/>
      <c r="MI34" s="201"/>
      <c r="MJ34" s="201"/>
      <c r="MK34" s="201"/>
      <c r="ML34" s="201"/>
      <c r="MM34" s="201"/>
      <c r="MN34" s="201"/>
      <c r="MO34" s="201"/>
      <c r="MP34" s="201"/>
      <c r="MQ34" s="201"/>
      <c r="MR34" s="201"/>
      <c r="MS34" s="201"/>
      <c r="MT34" s="201"/>
      <c r="MU34" s="201"/>
      <c r="MV34" s="201"/>
      <c r="MW34" s="201"/>
      <c r="MX34" s="201"/>
      <c r="MY34" s="201"/>
      <c r="MZ34" s="201"/>
      <c r="NA34" s="201"/>
      <c r="NB34" s="201"/>
      <c r="NC34" s="201"/>
      <c r="ND34" s="201"/>
      <c r="NE34" s="201"/>
      <c r="NF34" s="201"/>
      <c r="NG34" s="201"/>
      <c r="NH34" s="201"/>
      <c r="NI34" s="201"/>
      <c r="NJ34" s="201"/>
      <c r="NK34" s="201"/>
      <c r="NL34" s="201"/>
      <c r="NM34" s="201"/>
      <c r="NN34" s="201"/>
      <c r="NO34" s="201"/>
      <c r="NP34" s="201"/>
      <c r="NQ34" s="201"/>
      <c r="NR34" s="201"/>
      <c r="NS34" s="201"/>
      <c r="NT34" s="201"/>
      <c r="NU34" s="201"/>
      <c r="NV34" s="201"/>
      <c r="NW34" s="201"/>
      <c r="NX34" s="201"/>
      <c r="NY34" s="201"/>
      <c r="NZ34" s="201"/>
      <c r="OA34" s="201"/>
      <c r="OB34" s="201"/>
      <c r="OC34" s="201"/>
      <c r="OD34" s="201"/>
      <c r="OE34" s="201"/>
      <c r="OF34" s="201"/>
      <c r="OG34" s="201"/>
      <c r="OH34" s="201"/>
      <c r="OI34" s="201"/>
      <c r="OJ34" s="201"/>
      <c r="OK34" s="201"/>
      <c r="OL34" s="201"/>
      <c r="OM34" s="201"/>
      <c r="ON34" s="201"/>
      <c r="OO34" s="201"/>
      <c r="OP34" s="201"/>
      <c r="OQ34" s="201"/>
      <c r="OR34" s="201"/>
      <c r="OS34" s="201"/>
      <c r="OT34" s="201"/>
      <c r="OU34" s="201"/>
      <c r="OV34" s="201"/>
      <c r="OW34" s="201"/>
      <c r="OX34" s="201"/>
      <c r="OY34" s="201"/>
      <c r="OZ34" s="201"/>
      <c r="PA34" s="201"/>
      <c r="PB34" s="201"/>
      <c r="PC34" s="201"/>
      <c r="PD34" s="201"/>
      <c r="PE34" s="201"/>
      <c r="PF34" s="201"/>
      <c r="PG34" s="201"/>
      <c r="PH34" s="201"/>
      <c r="PI34" s="201"/>
      <c r="PJ34" s="201"/>
      <c r="PK34" s="201"/>
      <c r="PL34" s="201"/>
      <c r="PM34" s="201"/>
      <c r="PN34" s="201"/>
      <c r="PO34" s="201"/>
      <c r="PP34" s="201"/>
      <c r="PQ34" s="201"/>
      <c r="PR34" s="201"/>
      <c r="PS34" s="201"/>
      <c r="PT34" s="201"/>
      <c r="PU34" s="201"/>
      <c r="PV34" s="201"/>
      <c r="PW34" s="201"/>
      <c r="PX34" s="201"/>
      <c r="PY34" s="201"/>
      <c r="PZ34" s="201"/>
      <c r="QA34" s="201"/>
      <c r="QB34" s="201"/>
      <c r="QC34" s="201"/>
      <c r="QD34" s="201"/>
      <c r="QE34" s="201"/>
      <c r="QF34" s="201"/>
      <c r="QG34" s="201"/>
      <c r="QH34" s="201"/>
      <c r="QI34" s="201"/>
      <c r="QJ34" s="201"/>
      <c r="QK34" s="201"/>
      <c r="QL34" s="201"/>
      <c r="QM34" s="201"/>
      <c r="QN34" s="201"/>
      <c r="QO34" s="201"/>
      <c r="QP34" s="201"/>
      <c r="QQ34" s="201"/>
      <c r="QR34" s="201"/>
      <c r="QS34" s="201"/>
      <c r="QT34" s="201"/>
      <c r="QU34" s="201"/>
      <c r="QV34" s="201"/>
      <c r="QW34" s="201"/>
      <c r="QX34" s="201"/>
      <c r="QY34" s="201"/>
      <c r="QZ34" s="201"/>
      <c r="RA34" s="201"/>
      <c r="RB34" s="201"/>
      <c r="RC34" s="201"/>
      <c r="RD34" s="201"/>
      <c r="RE34" s="201"/>
      <c r="RF34" s="201"/>
      <c r="RG34" s="201"/>
      <c r="RH34" s="201"/>
      <c r="RI34" s="201"/>
      <c r="RJ34" s="201"/>
      <c r="RK34" s="201"/>
      <c r="RL34" s="201"/>
      <c r="RM34" s="201"/>
      <c r="RN34" s="201"/>
      <c r="RO34" s="201"/>
      <c r="RP34" s="201"/>
      <c r="RQ34" s="201"/>
      <c r="RR34" s="201"/>
      <c r="RS34" s="201"/>
      <c r="RT34" s="201"/>
      <c r="RU34" s="201"/>
      <c r="RV34" s="201"/>
      <c r="RW34" s="201"/>
      <c r="RX34" s="201"/>
      <c r="RY34" s="201"/>
      <c r="RZ34" s="201"/>
      <c r="SA34" s="201"/>
      <c r="SB34" s="201"/>
      <c r="SC34" s="201"/>
      <c r="SD34" s="201"/>
      <c r="SE34" s="201"/>
      <c r="SF34" s="201"/>
      <c r="SG34" s="201"/>
      <c r="SH34" s="201"/>
      <c r="SI34" s="201"/>
      <c r="SJ34" s="201"/>
      <c r="SK34" s="201"/>
      <c r="SL34" s="201"/>
      <c r="SM34" s="201"/>
      <c r="SN34" s="201"/>
      <c r="SO34" s="201"/>
      <c r="SP34" s="201"/>
      <c r="SQ34" s="201"/>
      <c r="SR34" s="201"/>
      <c r="SS34" s="201"/>
      <c r="ST34" s="201"/>
      <c r="SU34" s="201"/>
      <c r="SV34" s="201"/>
      <c r="SW34" s="201"/>
      <c r="SX34" s="201"/>
      <c r="SY34" s="201"/>
      <c r="SZ34" s="201"/>
      <c r="TA34" s="201"/>
      <c r="TB34" s="201"/>
      <c r="TC34" s="201"/>
      <c r="TD34" s="201"/>
      <c r="TE34" s="201"/>
      <c r="TF34" s="201"/>
      <c r="TG34" s="201"/>
      <c r="TH34" s="201"/>
      <c r="TI34" s="201"/>
      <c r="TJ34" s="201"/>
      <c r="TK34" s="201"/>
      <c r="TL34" s="201"/>
      <c r="TM34" s="201"/>
      <c r="TN34" s="201"/>
      <c r="TO34" s="201"/>
      <c r="TP34" s="201"/>
      <c r="TQ34" s="201"/>
      <c r="TR34" s="201"/>
      <c r="TS34" s="201"/>
      <c r="TT34" s="201"/>
      <c r="TU34" s="201"/>
      <c r="TV34" s="201"/>
      <c r="TW34" s="201"/>
      <c r="TX34" s="201"/>
      <c r="TY34" s="201"/>
      <c r="TZ34" s="201"/>
      <c r="UA34" s="201"/>
      <c r="UB34" s="201"/>
      <c r="UC34" s="201"/>
      <c r="UD34" s="201"/>
      <c r="UE34" s="201"/>
      <c r="UF34" s="201"/>
      <c r="UG34" s="201"/>
      <c r="UH34" s="201"/>
      <c r="UI34" s="201"/>
      <c r="UJ34" s="201"/>
      <c r="UK34" s="201"/>
      <c r="UL34" s="201"/>
      <c r="UM34" s="201"/>
      <c r="UN34" s="201"/>
      <c r="UO34" s="201"/>
      <c r="UP34" s="201"/>
      <c r="UQ34" s="201"/>
      <c r="UR34" s="201"/>
      <c r="US34" s="201"/>
      <c r="UT34" s="201"/>
      <c r="UU34" s="201"/>
      <c r="UV34" s="201"/>
      <c r="UW34" s="201"/>
      <c r="UX34" s="201"/>
      <c r="UY34" s="201"/>
      <c r="UZ34" s="201"/>
      <c r="VA34" s="201"/>
      <c r="VB34" s="201"/>
      <c r="VC34" s="201"/>
      <c r="VD34" s="201"/>
      <c r="VE34" s="201"/>
      <c r="VF34" s="201"/>
      <c r="VG34" s="201"/>
      <c r="VH34" s="201"/>
      <c r="VI34" s="201"/>
      <c r="VJ34" s="201"/>
      <c r="VK34" s="201"/>
      <c r="VL34" s="201"/>
      <c r="VM34" s="201"/>
      <c r="VN34" s="201"/>
      <c r="VO34" s="201"/>
      <c r="VP34" s="201"/>
      <c r="VQ34" s="201"/>
      <c r="VR34" s="201"/>
      <c r="VS34" s="201"/>
      <c r="VT34" s="201"/>
      <c r="VU34" s="201"/>
      <c r="VV34" s="201"/>
      <c r="VW34" s="201"/>
      <c r="VX34" s="201"/>
      <c r="VY34" s="201"/>
      <c r="VZ34" s="201"/>
      <c r="WA34" s="201"/>
      <c r="WB34" s="201"/>
      <c r="WC34" s="201"/>
      <c r="WD34" s="201"/>
      <c r="WE34" s="201"/>
      <c r="WF34" s="201"/>
      <c r="WG34" s="201"/>
      <c r="WH34" s="201"/>
      <c r="WI34" s="201"/>
      <c r="WJ34" s="201"/>
      <c r="WK34" s="201"/>
      <c r="WL34" s="201"/>
      <c r="WM34" s="201"/>
      <c r="WN34" s="201"/>
      <c r="WO34" s="201"/>
      <c r="WP34" s="201"/>
      <c r="WQ34" s="201"/>
      <c r="WR34" s="201"/>
      <c r="WS34" s="201"/>
      <c r="WT34" s="201"/>
      <c r="WU34" s="201"/>
      <c r="WV34" s="201"/>
      <c r="WW34" s="201"/>
      <c r="WX34" s="201"/>
      <c r="WY34" s="201"/>
      <c r="WZ34" s="201"/>
      <c r="XA34" s="201"/>
      <c r="XB34" s="201"/>
      <c r="XC34" s="201"/>
      <c r="XD34" s="201"/>
      <c r="XE34" s="201"/>
      <c r="XF34" s="201"/>
      <c r="XG34" s="201"/>
      <c r="XH34" s="201"/>
      <c r="XI34" s="201"/>
      <c r="XJ34" s="201"/>
      <c r="XK34" s="201"/>
      <c r="XL34" s="201"/>
      <c r="XM34" s="201"/>
      <c r="XN34" s="201"/>
      <c r="XO34" s="201"/>
      <c r="XP34" s="201"/>
      <c r="XQ34" s="201"/>
      <c r="XR34" s="201"/>
      <c r="XS34" s="201"/>
      <c r="XT34" s="201"/>
      <c r="XU34" s="201"/>
      <c r="XV34" s="201"/>
      <c r="XW34" s="201"/>
      <c r="XX34" s="201"/>
      <c r="XY34" s="201"/>
      <c r="XZ34" s="201"/>
      <c r="YA34" s="201"/>
      <c r="YB34" s="201"/>
      <c r="YC34" s="201"/>
      <c r="YD34" s="201"/>
      <c r="YE34" s="201"/>
      <c r="YF34" s="201"/>
      <c r="YG34" s="201"/>
      <c r="YH34" s="201"/>
      <c r="YI34" s="201"/>
      <c r="YJ34" s="201"/>
      <c r="YK34" s="201"/>
      <c r="YL34" s="201"/>
      <c r="YM34" s="201"/>
      <c r="YN34" s="201"/>
      <c r="YO34" s="201"/>
      <c r="YP34" s="201"/>
      <c r="YQ34" s="201"/>
      <c r="YR34" s="201"/>
      <c r="YS34" s="201"/>
      <c r="YT34" s="201"/>
      <c r="YU34" s="201"/>
      <c r="YV34" s="201"/>
      <c r="YW34" s="201"/>
      <c r="YX34" s="201"/>
      <c r="YY34" s="201"/>
      <c r="YZ34" s="201"/>
      <c r="ZA34" s="201"/>
      <c r="ZB34" s="201"/>
      <c r="ZC34" s="201"/>
      <c r="ZD34" s="201"/>
      <c r="ZE34" s="201"/>
      <c r="ZF34" s="201"/>
      <c r="ZG34" s="201"/>
      <c r="ZH34" s="201"/>
      <c r="ZI34" s="201"/>
      <c r="ZJ34" s="201"/>
      <c r="ZK34" s="201"/>
      <c r="ZL34" s="201"/>
      <c r="ZM34" s="201"/>
      <c r="ZN34" s="201"/>
      <c r="ZO34" s="201"/>
      <c r="ZP34" s="201"/>
      <c r="ZQ34" s="201"/>
      <c r="ZR34" s="201"/>
      <c r="ZS34" s="201"/>
      <c r="ZT34" s="201"/>
      <c r="ZU34" s="201"/>
      <c r="ZV34" s="201"/>
      <c r="ZW34" s="201"/>
    </row>
    <row r="35" spans="1:699" ht="15.75" customHeight="1" thickBot="1" x14ac:dyDescent="0.25">
      <c r="A35" s="1154"/>
      <c r="B35" s="1155"/>
      <c r="C35" s="1156"/>
      <c r="D35" s="1156"/>
      <c r="E35" s="1156"/>
      <c r="F35" s="1156"/>
      <c r="G35" s="1156"/>
      <c r="H35" s="1156"/>
      <c r="I35" s="1156"/>
      <c r="J35" s="1157"/>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row>
    <row r="36" spans="1:699" ht="15.75" customHeight="1" x14ac:dyDescent="0.2">
      <c r="A36" s="260"/>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row>
    <row r="37" spans="1:699" ht="15.75" customHeight="1" x14ac:dyDescent="0.2">
      <c r="A37" s="260"/>
      <c r="B37" s="200" t="s">
        <v>825</v>
      </c>
      <c r="C37" s="200"/>
      <c r="D37" s="200"/>
      <c r="E37" s="200"/>
      <c r="F37" s="200"/>
      <c r="G37" s="200"/>
      <c r="H37" s="200"/>
      <c r="I37" s="1158" t="s">
        <v>845</v>
      </c>
      <c r="J37" s="1159">
        <v>0</v>
      </c>
      <c r="K37" s="1159">
        <v>0.75</v>
      </c>
      <c r="L37" s="1159">
        <v>0</v>
      </c>
      <c r="M37" s="1159">
        <v>0.75</v>
      </c>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row>
    <row r="38" spans="1:699" ht="15.75" customHeight="1" x14ac:dyDescent="0.2">
      <c r="A38" s="1160" t="s">
        <v>19</v>
      </c>
      <c r="B38" s="1161" t="s">
        <v>191</v>
      </c>
      <c r="C38" s="1161" t="s">
        <v>826</v>
      </c>
      <c r="D38" s="1161" t="s">
        <v>846</v>
      </c>
      <c r="E38" s="1161" t="s">
        <v>196</v>
      </c>
      <c r="F38" s="1161" t="s">
        <v>847</v>
      </c>
      <c r="G38" s="1161" t="s">
        <v>848</v>
      </c>
      <c r="H38" s="1161" t="s">
        <v>849</v>
      </c>
      <c r="I38" s="1161" t="s">
        <v>850</v>
      </c>
      <c r="J38" s="1161" t="s">
        <v>847</v>
      </c>
      <c r="K38" s="1161" t="s">
        <v>848</v>
      </c>
      <c r="L38" s="1161" t="s">
        <v>849</v>
      </c>
      <c r="M38" s="1161" t="s">
        <v>850</v>
      </c>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82"/>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82"/>
      <c r="JY38" s="82"/>
      <c r="JZ38" s="82"/>
      <c r="KA38" s="82"/>
      <c r="KB38" s="82"/>
      <c r="KC38" s="82"/>
      <c r="KD38" s="82"/>
      <c r="KE38" s="82"/>
      <c r="KF38" s="82"/>
      <c r="KG38" s="82"/>
      <c r="KH38" s="82"/>
      <c r="KI38" s="82"/>
      <c r="KJ38" s="82"/>
      <c r="KK38" s="82"/>
      <c r="KL38" s="82"/>
      <c r="KM38" s="82"/>
      <c r="KN38" s="82"/>
      <c r="KO38" s="82"/>
      <c r="KP38" s="82"/>
      <c r="KQ38" s="82"/>
      <c r="KR38" s="82"/>
      <c r="KS38" s="82"/>
      <c r="KT38" s="82"/>
      <c r="KU38" s="82"/>
      <c r="KV38" s="82"/>
      <c r="KW38" s="82"/>
      <c r="KX38" s="82"/>
      <c r="KY38" s="82"/>
      <c r="KZ38" s="82"/>
      <c r="LA38" s="82"/>
      <c r="LB38" s="82"/>
      <c r="LC38" s="82"/>
      <c r="LD38" s="82"/>
      <c r="LE38" s="82"/>
      <c r="LF38" s="82"/>
      <c r="LG38" s="82"/>
      <c r="LH38" s="82"/>
      <c r="LI38" s="82"/>
      <c r="LJ38" s="82"/>
      <c r="LK38" s="82"/>
      <c r="LL38" s="82"/>
      <c r="LM38" s="82"/>
      <c r="LN38" s="82"/>
      <c r="LO38" s="82"/>
      <c r="LP38" s="82"/>
      <c r="LQ38" s="82"/>
      <c r="LR38" s="82"/>
      <c r="LS38" s="82"/>
      <c r="LT38" s="82"/>
      <c r="LU38" s="82"/>
      <c r="LV38" s="82"/>
      <c r="LW38" s="82"/>
      <c r="LX38" s="82"/>
      <c r="LY38" s="82"/>
      <c r="LZ38" s="82"/>
      <c r="MA38" s="82"/>
      <c r="MB38" s="82"/>
      <c r="MC38" s="82"/>
      <c r="MD38" s="82"/>
      <c r="ME38" s="82"/>
      <c r="MF38" s="82"/>
      <c r="MG38" s="82"/>
      <c r="MH38" s="82"/>
      <c r="MI38" s="82"/>
      <c r="MJ38" s="82"/>
      <c r="MK38" s="82"/>
      <c r="ML38" s="82"/>
      <c r="MM38" s="82"/>
      <c r="MN38" s="82"/>
      <c r="MO38" s="82"/>
      <c r="MP38" s="82"/>
      <c r="MQ38" s="82"/>
      <c r="MR38" s="82"/>
      <c r="MS38" s="82"/>
      <c r="MT38" s="82"/>
      <c r="MU38" s="82"/>
      <c r="MV38" s="82"/>
      <c r="MW38" s="82"/>
      <c r="MX38" s="82"/>
      <c r="MY38" s="82"/>
      <c r="MZ38" s="82"/>
      <c r="NA38" s="82"/>
      <c r="NB38" s="82"/>
      <c r="NC38" s="82"/>
      <c r="ND38" s="82"/>
      <c r="NE38" s="82"/>
      <c r="NF38" s="82"/>
      <c r="NG38" s="82"/>
      <c r="NH38" s="82"/>
      <c r="NI38" s="82"/>
      <c r="NJ38" s="82"/>
      <c r="NK38" s="82"/>
      <c r="NL38" s="82"/>
      <c r="NM38" s="82"/>
      <c r="NN38" s="82"/>
      <c r="NO38" s="82"/>
      <c r="NP38" s="82"/>
      <c r="NQ38" s="82"/>
      <c r="NR38" s="82"/>
      <c r="NS38" s="82"/>
      <c r="NT38" s="82"/>
      <c r="NU38" s="82"/>
      <c r="NV38" s="82"/>
      <c r="NW38" s="82"/>
      <c r="NX38" s="82"/>
      <c r="NY38" s="82"/>
      <c r="NZ38" s="82"/>
      <c r="OA38" s="82"/>
      <c r="OB38" s="82"/>
      <c r="OC38" s="82"/>
      <c r="OD38" s="82"/>
      <c r="OE38" s="82"/>
      <c r="OF38" s="82"/>
      <c r="OG38" s="82"/>
      <c r="OH38" s="82"/>
      <c r="OI38" s="82"/>
      <c r="OJ38" s="82"/>
      <c r="OK38" s="82"/>
      <c r="OL38" s="82"/>
      <c r="OM38" s="82"/>
      <c r="ON38" s="82"/>
      <c r="OO38" s="82"/>
      <c r="OP38" s="82"/>
      <c r="OQ38" s="82"/>
      <c r="OR38" s="82"/>
      <c r="OS38" s="82"/>
      <c r="OT38" s="82"/>
      <c r="OU38" s="82"/>
      <c r="OV38" s="82"/>
      <c r="OW38" s="82"/>
      <c r="OX38" s="82"/>
      <c r="OY38" s="82"/>
      <c r="OZ38" s="82"/>
      <c r="PA38" s="82"/>
      <c r="PB38" s="82"/>
      <c r="PC38" s="82"/>
      <c r="PD38" s="82"/>
      <c r="PE38" s="82"/>
      <c r="PF38" s="82"/>
      <c r="PG38" s="82"/>
      <c r="PH38" s="82"/>
      <c r="PI38" s="82"/>
      <c r="PJ38" s="82"/>
      <c r="PK38" s="82"/>
      <c r="PL38" s="82"/>
      <c r="PM38" s="82"/>
      <c r="PN38" s="82"/>
      <c r="PO38" s="82"/>
      <c r="PP38" s="82"/>
      <c r="PQ38" s="82"/>
      <c r="PR38" s="82"/>
      <c r="PS38" s="82"/>
      <c r="PT38" s="82"/>
      <c r="PU38" s="82"/>
      <c r="PV38" s="82"/>
      <c r="PW38" s="82"/>
      <c r="PX38" s="82"/>
      <c r="PY38" s="82"/>
      <c r="PZ38" s="82"/>
      <c r="QA38" s="82"/>
      <c r="QB38" s="82"/>
      <c r="QC38" s="82"/>
      <c r="QD38" s="82"/>
      <c r="QE38" s="82"/>
      <c r="QF38" s="82"/>
      <c r="QG38" s="82"/>
      <c r="QH38" s="82"/>
      <c r="QI38" s="82"/>
      <c r="QJ38" s="82"/>
      <c r="QK38" s="82"/>
      <c r="QL38" s="82"/>
      <c r="QM38" s="82"/>
      <c r="QN38" s="82"/>
      <c r="QO38" s="82"/>
      <c r="QP38" s="82"/>
      <c r="QQ38" s="82"/>
      <c r="QR38" s="82"/>
      <c r="QS38" s="82"/>
      <c r="QT38" s="82"/>
      <c r="QU38" s="82"/>
      <c r="QV38" s="82"/>
      <c r="QW38" s="82"/>
      <c r="QX38" s="82"/>
      <c r="QY38" s="82"/>
      <c r="QZ38" s="82"/>
      <c r="RA38" s="82"/>
      <c r="RB38" s="82"/>
      <c r="RC38" s="82"/>
      <c r="RD38" s="82"/>
      <c r="RE38" s="82"/>
      <c r="RF38" s="82"/>
      <c r="RG38" s="82"/>
      <c r="RH38" s="82"/>
      <c r="RI38" s="82"/>
      <c r="RJ38" s="82"/>
      <c r="RK38" s="82"/>
      <c r="RL38" s="82"/>
      <c r="RM38" s="82"/>
      <c r="RN38" s="82"/>
      <c r="RO38" s="82"/>
      <c r="RP38" s="82"/>
      <c r="RQ38" s="82"/>
      <c r="RR38" s="82"/>
      <c r="RS38" s="82"/>
      <c r="RT38" s="82"/>
      <c r="RU38" s="82"/>
      <c r="RV38" s="82"/>
      <c r="RW38" s="82"/>
      <c r="RX38" s="82"/>
      <c r="RY38" s="82"/>
      <c r="RZ38" s="82"/>
      <c r="SA38" s="82"/>
      <c r="SB38" s="82"/>
      <c r="SC38" s="82"/>
      <c r="SD38" s="82"/>
      <c r="SE38" s="82"/>
      <c r="SF38" s="82"/>
      <c r="SG38" s="82"/>
      <c r="SH38" s="82"/>
      <c r="SI38" s="82"/>
      <c r="SJ38" s="82"/>
      <c r="SK38" s="82"/>
      <c r="SL38" s="82"/>
      <c r="SM38" s="82"/>
      <c r="SN38" s="82"/>
      <c r="SO38" s="82"/>
      <c r="SP38" s="82"/>
      <c r="SQ38" s="82"/>
      <c r="SR38" s="82"/>
      <c r="SS38" s="82"/>
      <c r="ST38" s="82"/>
      <c r="SU38" s="82"/>
      <c r="SV38" s="82"/>
      <c r="SW38" s="82"/>
      <c r="SX38" s="82"/>
      <c r="SY38" s="82"/>
      <c r="SZ38" s="82"/>
      <c r="TA38" s="82"/>
      <c r="TB38" s="82"/>
      <c r="TC38" s="82"/>
      <c r="TD38" s="82"/>
      <c r="TE38" s="82"/>
      <c r="TF38" s="82"/>
      <c r="TG38" s="82"/>
      <c r="TH38" s="82"/>
      <c r="TI38" s="82"/>
      <c r="TJ38" s="82"/>
      <c r="TK38" s="82"/>
      <c r="TL38" s="82"/>
      <c r="TM38" s="82"/>
      <c r="TN38" s="82"/>
      <c r="TO38" s="82"/>
      <c r="TP38" s="82"/>
      <c r="TQ38" s="82"/>
      <c r="TR38" s="82"/>
      <c r="TS38" s="82"/>
      <c r="TT38" s="82"/>
      <c r="TU38" s="82"/>
      <c r="TV38" s="82"/>
      <c r="TW38" s="82"/>
      <c r="TX38" s="82"/>
      <c r="TY38" s="82"/>
      <c r="TZ38" s="82"/>
      <c r="UA38" s="82"/>
      <c r="UB38" s="82"/>
      <c r="UC38" s="82"/>
      <c r="UD38" s="82"/>
      <c r="UE38" s="82"/>
      <c r="UF38" s="82"/>
      <c r="UG38" s="82"/>
      <c r="UH38" s="82"/>
      <c r="UI38" s="82"/>
      <c r="UJ38" s="82"/>
      <c r="UK38" s="82"/>
      <c r="UL38" s="82"/>
      <c r="UM38" s="82"/>
      <c r="UN38" s="82"/>
      <c r="UO38" s="82"/>
      <c r="UP38" s="82"/>
      <c r="UQ38" s="82"/>
      <c r="UR38" s="82"/>
      <c r="US38" s="82"/>
      <c r="UT38" s="82"/>
      <c r="UU38" s="82"/>
      <c r="UV38" s="82"/>
      <c r="UW38" s="82"/>
      <c r="UX38" s="82"/>
      <c r="UY38" s="82"/>
      <c r="UZ38" s="82"/>
      <c r="VA38" s="82"/>
      <c r="VB38" s="82"/>
      <c r="VC38" s="82"/>
      <c r="VD38" s="82"/>
      <c r="VE38" s="82"/>
      <c r="VF38" s="82"/>
      <c r="VG38" s="82"/>
      <c r="VH38" s="82"/>
      <c r="VI38" s="82"/>
      <c r="VJ38" s="82"/>
      <c r="VK38" s="82"/>
      <c r="VL38" s="82"/>
      <c r="VM38" s="82"/>
      <c r="VN38" s="82"/>
      <c r="VO38" s="82"/>
      <c r="VP38" s="82"/>
      <c r="VQ38" s="82"/>
      <c r="VR38" s="82"/>
      <c r="VS38" s="82"/>
      <c r="VT38" s="82"/>
      <c r="VU38" s="82"/>
      <c r="VV38" s="82"/>
      <c r="VW38" s="82"/>
      <c r="VX38" s="82"/>
      <c r="VY38" s="82"/>
      <c r="VZ38" s="82"/>
      <c r="WA38" s="82"/>
      <c r="WB38" s="82"/>
      <c r="WC38" s="82"/>
      <c r="WD38" s="82"/>
      <c r="WE38" s="82"/>
      <c r="WF38" s="82"/>
      <c r="WG38" s="82"/>
      <c r="WH38" s="82"/>
      <c r="WI38" s="82"/>
      <c r="WJ38" s="82"/>
      <c r="WK38" s="82"/>
      <c r="WL38" s="82"/>
      <c r="WM38" s="82"/>
      <c r="WN38" s="82"/>
      <c r="WO38" s="82"/>
      <c r="WP38" s="82"/>
      <c r="WQ38" s="82"/>
      <c r="WR38" s="82"/>
      <c r="WS38" s="82"/>
      <c r="WT38" s="82"/>
      <c r="WU38" s="82"/>
      <c r="WV38" s="82"/>
      <c r="WW38" s="82"/>
      <c r="WX38" s="82"/>
      <c r="WY38" s="82"/>
      <c r="WZ38" s="82"/>
      <c r="XA38" s="82"/>
      <c r="XB38" s="82"/>
      <c r="XC38" s="82"/>
      <c r="XD38" s="82"/>
      <c r="XE38" s="82"/>
      <c r="XF38" s="82"/>
      <c r="XG38" s="82"/>
      <c r="XH38" s="82"/>
      <c r="XI38" s="82"/>
      <c r="XJ38" s="82"/>
      <c r="XK38" s="82"/>
      <c r="XL38" s="82"/>
      <c r="XM38" s="82"/>
      <c r="XN38" s="82"/>
      <c r="XO38" s="82"/>
      <c r="XP38" s="82"/>
      <c r="XQ38" s="82"/>
      <c r="XR38" s="82"/>
      <c r="XS38" s="82"/>
      <c r="XT38" s="82"/>
      <c r="XU38" s="82"/>
      <c r="XV38" s="82"/>
      <c r="XW38" s="82"/>
      <c r="XX38" s="82"/>
      <c r="XY38" s="82"/>
      <c r="XZ38" s="82"/>
      <c r="YA38" s="82"/>
      <c r="YB38" s="82"/>
      <c r="YC38" s="82"/>
      <c r="YD38" s="82"/>
      <c r="YE38" s="82"/>
      <c r="YF38" s="82"/>
      <c r="YG38" s="82"/>
      <c r="YH38" s="82"/>
      <c r="YI38" s="82"/>
      <c r="YJ38" s="82"/>
      <c r="YK38" s="82"/>
      <c r="YL38" s="82"/>
      <c r="YM38" s="82"/>
      <c r="YN38" s="82"/>
      <c r="YO38" s="82"/>
      <c r="YP38" s="82"/>
      <c r="YQ38" s="82"/>
      <c r="YR38" s="82"/>
      <c r="YS38" s="82"/>
      <c r="YT38" s="82"/>
      <c r="YU38" s="82"/>
      <c r="YV38" s="82"/>
      <c r="YW38" s="82"/>
      <c r="YX38" s="82"/>
      <c r="YY38" s="82"/>
      <c r="YZ38" s="82"/>
      <c r="ZA38" s="82"/>
      <c r="ZB38" s="82"/>
      <c r="ZC38" s="82"/>
      <c r="ZD38" s="82"/>
      <c r="ZE38" s="82"/>
      <c r="ZF38" s="82"/>
      <c r="ZG38" s="82"/>
      <c r="ZH38" s="82"/>
      <c r="ZI38" s="82"/>
      <c r="ZJ38" s="82"/>
      <c r="ZK38" s="82"/>
      <c r="ZL38" s="82"/>
      <c r="ZM38" s="82"/>
      <c r="ZN38" s="82"/>
      <c r="ZO38" s="82"/>
      <c r="ZP38" s="82"/>
      <c r="ZQ38" s="82"/>
      <c r="ZR38" s="82"/>
      <c r="ZS38" s="82"/>
      <c r="ZT38" s="82"/>
      <c r="ZU38" s="82"/>
      <c r="ZV38" s="82"/>
      <c r="ZW38" s="82"/>
    </row>
    <row r="39" spans="1:699" ht="15.75" customHeight="1" x14ac:dyDescent="0.2">
      <c r="A39" s="82"/>
      <c r="B39" s="82">
        <v>2015</v>
      </c>
      <c r="C39" s="1162">
        <v>135000</v>
      </c>
      <c r="D39" s="1162">
        <v>98000000</v>
      </c>
      <c r="E39" s="1162">
        <v>97000000</v>
      </c>
      <c r="F39" s="1162">
        <v>6860000.0000000009</v>
      </c>
      <c r="G39" s="1162">
        <v>5880000</v>
      </c>
      <c r="H39" s="1162">
        <v>3920000</v>
      </c>
      <c r="I39" s="1162">
        <v>7840000</v>
      </c>
      <c r="J39" s="1163">
        <f>$B$46</f>
        <v>7.0000000000000007E-2</v>
      </c>
      <c r="K39" s="282">
        <f t="shared" ref="K39:K41" si="0">G39/$D39</f>
        <v>0.06</v>
      </c>
      <c r="L39" s="1163">
        <f>$B$45</f>
        <v>6.2E-2</v>
      </c>
      <c r="M39" s="282">
        <f>I39/$E39</f>
        <v>8.0824742268041233E-2</v>
      </c>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82"/>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82"/>
      <c r="JY39" s="82"/>
      <c r="JZ39" s="82"/>
      <c r="KA39" s="82"/>
      <c r="KB39" s="82"/>
      <c r="KC39" s="82"/>
      <c r="KD39" s="82"/>
      <c r="KE39" s="82"/>
      <c r="KF39" s="82"/>
      <c r="KG39" s="82"/>
      <c r="KH39" s="82"/>
      <c r="KI39" s="82"/>
      <c r="KJ39" s="82"/>
      <c r="KK39" s="82"/>
      <c r="KL39" s="82"/>
      <c r="KM39" s="82"/>
      <c r="KN39" s="82"/>
      <c r="KO39" s="82"/>
      <c r="KP39" s="82"/>
      <c r="KQ39" s="82"/>
      <c r="KR39" s="82"/>
      <c r="KS39" s="82"/>
      <c r="KT39" s="82"/>
      <c r="KU39" s="82"/>
      <c r="KV39" s="82"/>
      <c r="KW39" s="82"/>
      <c r="KX39" s="82"/>
      <c r="KY39" s="82"/>
      <c r="KZ39" s="82"/>
      <c r="LA39" s="82"/>
      <c r="LB39" s="82"/>
      <c r="LC39" s="82"/>
      <c r="LD39" s="82"/>
      <c r="LE39" s="82"/>
      <c r="LF39" s="82"/>
      <c r="LG39" s="82"/>
      <c r="LH39" s="82"/>
      <c r="LI39" s="82"/>
      <c r="LJ39" s="82"/>
      <c r="LK39" s="82"/>
      <c r="LL39" s="82"/>
      <c r="LM39" s="82"/>
      <c r="LN39" s="82"/>
      <c r="LO39" s="82"/>
      <c r="LP39" s="82"/>
      <c r="LQ39" s="82"/>
      <c r="LR39" s="82"/>
      <c r="LS39" s="82"/>
      <c r="LT39" s="82"/>
      <c r="LU39" s="82"/>
      <c r="LV39" s="82"/>
      <c r="LW39" s="82"/>
      <c r="LX39" s="82"/>
      <c r="LY39" s="82"/>
      <c r="LZ39" s="82"/>
      <c r="MA39" s="82"/>
      <c r="MB39" s="82"/>
      <c r="MC39" s="82"/>
      <c r="MD39" s="82"/>
      <c r="ME39" s="82"/>
      <c r="MF39" s="82"/>
      <c r="MG39" s="82"/>
      <c r="MH39" s="82"/>
      <c r="MI39" s="82"/>
      <c r="MJ39" s="82"/>
      <c r="MK39" s="82"/>
      <c r="ML39" s="82"/>
      <c r="MM39" s="82"/>
      <c r="MN39" s="82"/>
      <c r="MO39" s="82"/>
      <c r="MP39" s="82"/>
      <c r="MQ39" s="82"/>
      <c r="MR39" s="82"/>
      <c r="MS39" s="82"/>
      <c r="MT39" s="82"/>
      <c r="MU39" s="82"/>
      <c r="MV39" s="82"/>
      <c r="MW39" s="82"/>
      <c r="MX39" s="82"/>
      <c r="MY39" s="82"/>
      <c r="MZ39" s="82"/>
      <c r="NA39" s="82"/>
      <c r="NB39" s="82"/>
      <c r="NC39" s="82"/>
      <c r="ND39" s="82"/>
      <c r="NE39" s="82"/>
      <c r="NF39" s="82"/>
      <c r="NG39" s="82"/>
      <c r="NH39" s="82"/>
      <c r="NI39" s="82"/>
      <c r="NJ39" s="82"/>
      <c r="NK39" s="82"/>
      <c r="NL39" s="82"/>
      <c r="NM39" s="82"/>
      <c r="NN39" s="82"/>
      <c r="NO39" s="82"/>
      <c r="NP39" s="82"/>
      <c r="NQ39" s="82"/>
      <c r="NR39" s="82"/>
      <c r="NS39" s="82"/>
      <c r="NT39" s="82"/>
      <c r="NU39" s="82"/>
      <c r="NV39" s="82"/>
      <c r="NW39" s="82"/>
      <c r="NX39" s="82"/>
      <c r="NY39" s="82"/>
      <c r="NZ39" s="82"/>
      <c r="OA39" s="82"/>
      <c r="OB39" s="82"/>
      <c r="OC39" s="82"/>
      <c r="OD39" s="82"/>
      <c r="OE39" s="82"/>
      <c r="OF39" s="82"/>
      <c r="OG39" s="82"/>
      <c r="OH39" s="82"/>
      <c r="OI39" s="82"/>
      <c r="OJ39" s="82"/>
      <c r="OK39" s="82"/>
      <c r="OL39" s="82"/>
      <c r="OM39" s="82"/>
      <c r="ON39" s="82"/>
      <c r="OO39" s="82"/>
      <c r="OP39" s="82"/>
      <c r="OQ39" s="82"/>
      <c r="OR39" s="82"/>
      <c r="OS39" s="82"/>
      <c r="OT39" s="82"/>
      <c r="OU39" s="82"/>
      <c r="OV39" s="82"/>
      <c r="OW39" s="82"/>
      <c r="OX39" s="82"/>
      <c r="OY39" s="82"/>
      <c r="OZ39" s="82"/>
      <c r="PA39" s="82"/>
      <c r="PB39" s="82"/>
      <c r="PC39" s="82"/>
      <c r="PD39" s="82"/>
      <c r="PE39" s="82"/>
      <c r="PF39" s="82"/>
      <c r="PG39" s="82"/>
      <c r="PH39" s="82"/>
      <c r="PI39" s="82"/>
      <c r="PJ39" s="82"/>
      <c r="PK39" s="82"/>
      <c r="PL39" s="82"/>
      <c r="PM39" s="82"/>
      <c r="PN39" s="82"/>
      <c r="PO39" s="82"/>
      <c r="PP39" s="82"/>
      <c r="PQ39" s="82"/>
      <c r="PR39" s="82"/>
      <c r="PS39" s="82"/>
      <c r="PT39" s="82"/>
      <c r="PU39" s="82"/>
      <c r="PV39" s="82"/>
      <c r="PW39" s="82"/>
      <c r="PX39" s="82"/>
      <c r="PY39" s="82"/>
      <c r="PZ39" s="82"/>
      <c r="QA39" s="82"/>
      <c r="QB39" s="82"/>
      <c r="QC39" s="82"/>
      <c r="QD39" s="82"/>
      <c r="QE39" s="82"/>
      <c r="QF39" s="82"/>
      <c r="QG39" s="82"/>
      <c r="QH39" s="82"/>
      <c r="QI39" s="82"/>
      <c r="QJ39" s="82"/>
      <c r="QK39" s="82"/>
      <c r="QL39" s="82"/>
      <c r="QM39" s="82"/>
      <c r="QN39" s="82"/>
      <c r="QO39" s="82"/>
      <c r="QP39" s="82"/>
      <c r="QQ39" s="82"/>
      <c r="QR39" s="82"/>
      <c r="QS39" s="82"/>
      <c r="QT39" s="82"/>
      <c r="QU39" s="82"/>
      <c r="QV39" s="82"/>
      <c r="QW39" s="82"/>
      <c r="QX39" s="82"/>
      <c r="QY39" s="82"/>
      <c r="QZ39" s="82"/>
      <c r="RA39" s="82"/>
      <c r="RB39" s="82"/>
      <c r="RC39" s="82"/>
      <c r="RD39" s="82"/>
      <c r="RE39" s="82"/>
      <c r="RF39" s="82"/>
      <c r="RG39" s="82"/>
      <c r="RH39" s="82"/>
      <c r="RI39" s="82"/>
      <c r="RJ39" s="82"/>
      <c r="RK39" s="82"/>
      <c r="RL39" s="82"/>
      <c r="RM39" s="82"/>
      <c r="RN39" s="82"/>
      <c r="RO39" s="82"/>
      <c r="RP39" s="82"/>
      <c r="RQ39" s="82"/>
      <c r="RR39" s="82"/>
      <c r="RS39" s="82"/>
      <c r="RT39" s="82"/>
      <c r="RU39" s="82"/>
      <c r="RV39" s="82"/>
      <c r="RW39" s="82"/>
      <c r="RX39" s="82"/>
      <c r="RY39" s="82"/>
      <c r="RZ39" s="82"/>
      <c r="SA39" s="82"/>
      <c r="SB39" s="82"/>
      <c r="SC39" s="82"/>
      <c r="SD39" s="82"/>
      <c r="SE39" s="82"/>
      <c r="SF39" s="82"/>
      <c r="SG39" s="82"/>
      <c r="SH39" s="82"/>
      <c r="SI39" s="82"/>
      <c r="SJ39" s="82"/>
      <c r="SK39" s="82"/>
      <c r="SL39" s="82"/>
      <c r="SM39" s="82"/>
      <c r="SN39" s="82"/>
      <c r="SO39" s="82"/>
      <c r="SP39" s="82"/>
      <c r="SQ39" s="82"/>
      <c r="SR39" s="82"/>
      <c r="SS39" s="82"/>
      <c r="ST39" s="82"/>
      <c r="SU39" s="82"/>
      <c r="SV39" s="82"/>
      <c r="SW39" s="82"/>
      <c r="SX39" s="82"/>
      <c r="SY39" s="82"/>
      <c r="SZ39" s="82"/>
      <c r="TA39" s="82"/>
      <c r="TB39" s="82"/>
      <c r="TC39" s="82"/>
      <c r="TD39" s="82"/>
      <c r="TE39" s="82"/>
      <c r="TF39" s="82"/>
      <c r="TG39" s="82"/>
      <c r="TH39" s="82"/>
      <c r="TI39" s="82"/>
      <c r="TJ39" s="82"/>
      <c r="TK39" s="82"/>
      <c r="TL39" s="82"/>
      <c r="TM39" s="82"/>
      <c r="TN39" s="82"/>
      <c r="TO39" s="82"/>
      <c r="TP39" s="82"/>
      <c r="TQ39" s="82"/>
      <c r="TR39" s="82"/>
      <c r="TS39" s="82"/>
      <c r="TT39" s="82"/>
      <c r="TU39" s="82"/>
      <c r="TV39" s="82"/>
      <c r="TW39" s="82"/>
      <c r="TX39" s="82"/>
      <c r="TY39" s="82"/>
      <c r="TZ39" s="82"/>
      <c r="UA39" s="82"/>
      <c r="UB39" s="82"/>
      <c r="UC39" s="82"/>
      <c r="UD39" s="82"/>
      <c r="UE39" s="82"/>
      <c r="UF39" s="82"/>
      <c r="UG39" s="82"/>
      <c r="UH39" s="82"/>
      <c r="UI39" s="82"/>
      <c r="UJ39" s="82"/>
      <c r="UK39" s="82"/>
      <c r="UL39" s="82"/>
      <c r="UM39" s="82"/>
      <c r="UN39" s="82"/>
      <c r="UO39" s="82"/>
      <c r="UP39" s="82"/>
      <c r="UQ39" s="82"/>
      <c r="UR39" s="82"/>
      <c r="US39" s="82"/>
      <c r="UT39" s="82"/>
      <c r="UU39" s="82"/>
      <c r="UV39" s="82"/>
      <c r="UW39" s="82"/>
      <c r="UX39" s="82"/>
      <c r="UY39" s="82"/>
      <c r="UZ39" s="82"/>
      <c r="VA39" s="82"/>
      <c r="VB39" s="82"/>
      <c r="VC39" s="82"/>
      <c r="VD39" s="82"/>
      <c r="VE39" s="82"/>
      <c r="VF39" s="82"/>
      <c r="VG39" s="82"/>
      <c r="VH39" s="82"/>
      <c r="VI39" s="82"/>
      <c r="VJ39" s="82"/>
      <c r="VK39" s="82"/>
      <c r="VL39" s="82"/>
      <c r="VM39" s="82"/>
      <c r="VN39" s="82"/>
      <c r="VO39" s="82"/>
      <c r="VP39" s="82"/>
      <c r="VQ39" s="82"/>
      <c r="VR39" s="82"/>
      <c r="VS39" s="82"/>
      <c r="VT39" s="82"/>
      <c r="VU39" s="82"/>
      <c r="VV39" s="82"/>
      <c r="VW39" s="82"/>
      <c r="VX39" s="82"/>
      <c r="VY39" s="82"/>
      <c r="VZ39" s="82"/>
      <c r="WA39" s="82"/>
      <c r="WB39" s="82"/>
      <c r="WC39" s="82"/>
      <c r="WD39" s="82"/>
      <c r="WE39" s="82"/>
      <c r="WF39" s="82"/>
      <c r="WG39" s="82"/>
      <c r="WH39" s="82"/>
      <c r="WI39" s="82"/>
      <c r="WJ39" s="82"/>
      <c r="WK39" s="82"/>
      <c r="WL39" s="82"/>
      <c r="WM39" s="82"/>
      <c r="WN39" s="82"/>
      <c r="WO39" s="82"/>
      <c r="WP39" s="82"/>
      <c r="WQ39" s="82"/>
      <c r="WR39" s="82"/>
      <c r="WS39" s="82"/>
      <c r="WT39" s="82"/>
      <c r="WU39" s="82"/>
      <c r="WV39" s="82"/>
      <c r="WW39" s="82"/>
      <c r="WX39" s="82"/>
      <c r="WY39" s="82"/>
      <c r="WZ39" s="82"/>
      <c r="XA39" s="82"/>
      <c r="XB39" s="82"/>
      <c r="XC39" s="82"/>
      <c r="XD39" s="82"/>
      <c r="XE39" s="82"/>
      <c r="XF39" s="82"/>
      <c r="XG39" s="82"/>
      <c r="XH39" s="82"/>
      <c r="XI39" s="82"/>
      <c r="XJ39" s="82"/>
      <c r="XK39" s="82"/>
      <c r="XL39" s="82"/>
      <c r="XM39" s="82"/>
      <c r="XN39" s="82"/>
      <c r="XO39" s="82"/>
      <c r="XP39" s="82"/>
      <c r="XQ39" s="82"/>
      <c r="XR39" s="82"/>
      <c r="XS39" s="82"/>
      <c r="XT39" s="82"/>
      <c r="XU39" s="82"/>
      <c r="XV39" s="82"/>
      <c r="XW39" s="82"/>
      <c r="XX39" s="82"/>
      <c r="XY39" s="82"/>
      <c r="XZ39" s="82"/>
      <c r="YA39" s="82"/>
      <c r="YB39" s="82"/>
      <c r="YC39" s="82"/>
      <c r="YD39" s="82"/>
      <c r="YE39" s="82"/>
      <c r="YF39" s="82"/>
      <c r="YG39" s="82"/>
      <c r="YH39" s="82"/>
      <c r="YI39" s="82"/>
      <c r="YJ39" s="82"/>
      <c r="YK39" s="82"/>
      <c r="YL39" s="82"/>
      <c r="YM39" s="82"/>
      <c r="YN39" s="82"/>
      <c r="YO39" s="82"/>
      <c r="YP39" s="82"/>
      <c r="YQ39" s="82"/>
      <c r="YR39" s="82"/>
      <c r="YS39" s="82"/>
      <c r="YT39" s="82"/>
      <c r="YU39" s="82"/>
      <c r="YV39" s="82"/>
      <c r="YW39" s="82"/>
      <c r="YX39" s="82"/>
      <c r="YY39" s="82"/>
      <c r="YZ39" s="82"/>
      <c r="ZA39" s="82"/>
      <c r="ZB39" s="82"/>
      <c r="ZC39" s="82"/>
      <c r="ZD39" s="82"/>
      <c r="ZE39" s="82"/>
      <c r="ZF39" s="82"/>
      <c r="ZG39" s="82"/>
      <c r="ZH39" s="82"/>
      <c r="ZI39" s="82"/>
      <c r="ZJ39" s="82"/>
      <c r="ZK39" s="82"/>
      <c r="ZL39" s="82"/>
      <c r="ZM39" s="82"/>
      <c r="ZN39" s="82"/>
      <c r="ZO39" s="82"/>
      <c r="ZP39" s="82"/>
      <c r="ZQ39" s="82"/>
      <c r="ZR39" s="82"/>
      <c r="ZS39" s="82"/>
      <c r="ZT39" s="82"/>
      <c r="ZU39" s="82"/>
      <c r="ZV39" s="82"/>
      <c r="ZW39" s="82"/>
    </row>
    <row r="40" spans="1:699" ht="15.75" customHeight="1" x14ac:dyDescent="0.2">
      <c r="A40" s="82"/>
      <c r="B40" s="82">
        <v>2016</v>
      </c>
      <c r="C40" s="1162">
        <v>138000</v>
      </c>
      <c r="D40" s="1162">
        <v>100000000</v>
      </c>
      <c r="E40" s="1162">
        <v>99000000</v>
      </c>
      <c r="F40" s="1162">
        <v>7000000.0000000009</v>
      </c>
      <c r="G40" s="1162">
        <v>6300000</v>
      </c>
      <c r="H40" s="1162">
        <v>3900000</v>
      </c>
      <c r="I40" s="1162">
        <v>8007000</v>
      </c>
      <c r="J40" s="1163">
        <f t="shared" ref="J40:J41" si="1">$B$46</f>
        <v>7.0000000000000007E-2</v>
      </c>
      <c r="K40" s="282">
        <f t="shared" si="0"/>
        <v>6.3E-2</v>
      </c>
      <c r="L40" s="1163">
        <f t="shared" ref="L40:L41" si="2">$B$45</f>
        <v>6.2E-2</v>
      </c>
      <c r="M40" s="282">
        <f t="shared" ref="M40:M41" si="3">I40/$E40</f>
        <v>8.0878787878787883E-2</v>
      </c>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row>
    <row r="41" spans="1:699" ht="15.75" customHeight="1" x14ac:dyDescent="0.2">
      <c r="A41" s="260"/>
      <c r="B41" s="1164">
        <v>2017</v>
      </c>
      <c r="C41" s="1165">
        <v>141000</v>
      </c>
      <c r="D41" s="1165">
        <v>102500000</v>
      </c>
      <c r="E41" s="1165">
        <v>101250000</v>
      </c>
      <c r="F41" s="1165">
        <v>7175000.0000000009</v>
      </c>
      <c r="G41" s="1165">
        <v>6253000</v>
      </c>
      <c r="H41" s="1165">
        <v>4203000</v>
      </c>
      <c r="I41" s="1165">
        <v>8212000</v>
      </c>
      <c r="J41" s="1166">
        <f t="shared" si="1"/>
        <v>7.0000000000000007E-2</v>
      </c>
      <c r="K41" s="1167">
        <f t="shared" si="0"/>
        <v>6.1004878048780485E-2</v>
      </c>
      <c r="L41" s="1166">
        <f t="shared" si="2"/>
        <v>6.2E-2</v>
      </c>
      <c r="M41" s="1167">
        <f t="shared" si="3"/>
        <v>8.1106172839506177E-2</v>
      </c>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row>
    <row r="42" spans="1:699" ht="15.75" customHeight="1" x14ac:dyDescent="0.2">
      <c r="A42" s="260"/>
      <c r="B42" s="200"/>
      <c r="C42" s="200"/>
      <c r="D42" s="200"/>
      <c r="E42" s="200"/>
      <c r="F42" s="200"/>
      <c r="G42" s="200"/>
      <c r="H42" s="200"/>
      <c r="I42" s="200"/>
      <c r="J42" s="1168">
        <f>AVERAGE(J39:J41)</f>
        <v>7.0000000000000007E-2</v>
      </c>
      <c r="K42" s="1168">
        <f>AVERAGE(K39:K41)</f>
        <v>6.1334959349593494E-2</v>
      </c>
      <c r="L42" s="1168">
        <f>AVERAGE(L39:L41)</f>
        <v>6.2E-2</v>
      </c>
      <c r="M42" s="1168">
        <f>AVERAGE(M39:M41)</f>
        <v>8.0936567662111769E-2</v>
      </c>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row>
    <row r="43" spans="1:699" ht="15.75" customHeight="1" x14ac:dyDescent="0.2">
      <c r="A43" s="260"/>
      <c r="B43" s="200" t="s">
        <v>832</v>
      </c>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row>
    <row r="44" spans="1:699" ht="15.75" customHeight="1" x14ac:dyDescent="0.2">
      <c r="A44" s="260"/>
      <c r="B44" s="1162">
        <v>725</v>
      </c>
      <c r="C44" s="200" t="s">
        <v>833</v>
      </c>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row>
    <row r="45" spans="1:699" ht="15.75" customHeight="1" x14ac:dyDescent="0.2">
      <c r="A45" s="260"/>
      <c r="B45" s="1169">
        <v>6.2E-2</v>
      </c>
      <c r="C45" s="200" t="s">
        <v>834</v>
      </c>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row>
    <row r="46" spans="1:699" ht="15.75" customHeight="1" x14ac:dyDescent="0.2">
      <c r="A46" s="260"/>
      <c r="B46" s="1169">
        <v>7.0000000000000007E-2</v>
      </c>
      <c r="C46" s="200" t="s">
        <v>835</v>
      </c>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row>
    <row r="47" spans="1:699" ht="15.75" customHeight="1" x14ac:dyDescent="0.2">
      <c r="A47" s="260"/>
      <c r="B47" s="1169">
        <v>0.67200000000000004</v>
      </c>
      <c r="C47" s="200" t="s">
        <v>836</v>
      </c>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row>
    <row r="48" spans="1:699" ht="15.75" customHeight="1" x14ac:dyDescent="0.2">
      <c r="A48" s="260"/>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row>
    <row r="49" spans="1:52" ht="15.75" customHeight="1" x14ac:dyDescent="0.2">
      <c r="A49" s="260"/>
      <c r="B49" s="1169">
        <v>3.5000000000000003E-2</v>
      </c>
      <c r="C49" s="200" t="s">
        <v>837</v>
      </c>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row>
    <row r="50" spans="1:52" ht="15.75" customHeight="1" x14ac:dyDescent="0.2">
      <c r="A50" s="260"/>
      <c r="B50" s="1169">
        <v>0.06</v>
      </c>
      <c r="C50" s="200" t="s">
        <v>838</v>
      </c>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row>
    <row r="51" spans="1:52" ht="15.75" customHeight="1" x14ac:dyDescent="0.2">
      <c r="A51" s="260"/>
      <c r="B51" s="1170">
        <v>2019</v>
      </c>
      <c r="C51" s="200" t="s">
        <v>851</v>
      </c>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row>
    <row r="52" spans="1:52" ht="15.75" customHeight="1" x14ac:dyDescent="0.2">
      <c r="A52" s="260"/>
      <c r="B52" s="1170">
        <v>1</v>
      </c>
      <c r="C52" s="200" t="s">
        <v>852</v>
      </c>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row>
    <row r="53" spans="1:52" ht="15.75" customHeight="1" x14ac:dyDescent="0.2">
      <c r="A53" s="260"/>
      <c r="B53" s="1170">
        <v>1</v>
      </c>
      <c r="C53" s="200" t="s">
        <v>853</v>
      </c>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row>
    <row r="54" spans="1:52" ht="15.75" customHeight="1" x14ac:dyDescent="0.2">
      <c r="A54" s="260"/>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row>
    <row r="55" spans="1:52" ht="15.75" customHeight="1" x14ac:dyDescent="0.2">
      <c r="A55" s="1171"/>
      <c r="B55" s="1172">
        <f>SUM(J42:M42)</f>
        <v>0.27427152701170526</v>
      </c>
      <c r="C55" s="200" t="s">
        <v>854</v>
      </c>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row>
    <row r="56" spans="1:52" ht="15.75" customHeight="1" x14ac:dyDescent="0.2">
      <c r="A56" s="26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row>
    <row r="57" spans="1:52" ht="15.75" customHeight="1" x14ac:dyDescent="0.2">
      <c r="A57" s="1173"/>
      <c r="B57" s="1173"/>
      <c r="C57" s="1173"/>
      <c r="D57" s="1173"/>
      <c r="E57" s="1173"/>
      <c r="F57" s="1173"/>
      <c r="G57" s="1173"/>
      <c r="H57" s="1173"/>
      <c r="I57" s="1173"/>
      <c r="J57" s="1173"/>
      <c r="K57" s="1173"/>
      <c r="L57" s="1173"/>
      <c r="M57" s="1173"/>
      <c r="N57" s="1173"/>
      <c r="O57" s="1173"/>
      <c r="P57" s="1173"/>
      <c r="Q57" s="1173"/>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row>
    <row r="58" spans="1:52" ht="15.75" customHeight="1" x14ac:dyDescent="0.2">
      <c r="A58" s="1160" t="s">
        <v>21</v>
      </c>
      <c r="B58" s="1174"/>
      <c r="C58" s="200" t="s">
        <v>855</v>
      </c>
      <c r="D58" s="200"/>
      <c r="E58" s="200"/>
      <c r="F58" s="1173"/>
      <c r="G58" s="1173"/>
      <c r="H58" s="1173"/>
      <c r="I58" s="1173"/>
      <c r="J58" s="1173"/>
      <c r="K58" s="1173"/>
      <c r="L58" s="1173"/>
      <c r="M58" s="1173"/>
      <c r="N58" s="1173"/>
      <c r="O58" s="1173"/>
      <c r="P58" s="1173"/>
      <c r="Q58" s="1173"/>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row>
    <row r="59" spans="1:52" ht="15.75" customHeight="1" x14ac:dyDescent="0.2">
      <c r="A59" s="1173"/>
      <c r="B59" s="1174"/>
      <c r="C59" s="200"/>
      <c r="D59" s="200" t="s">
        <v>848</v>
      </c>
      <c r="E59" s="200" t="s">
        <v>856</v>
      </c>
      <c r="F59" s="1173"/>
      <c r="G59" s="1173"/>
      <c r="H59" s="1173"/>
      <c r="I59" s="1173"/>
      <c r="J59" s="1173"/>
      <c r="K59" s="1173"/>
      <c r="L59" s="1173"/>
      <c r="M59" s="1173"/>
      <c r="N59" s="1173"/>
      <c r="O59" s="1173"/>
      <c r="P59" s="1173"/>
      <c r="Q59" s="1173"/>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row>
    <row r="60" spans="1:52" ht="15.75" customHeight="1" x14ac:dyDescent="0.2">
      <c r="A60" s="1173"/>
      <c r="B60" s="1173"/>
      <c r="C60" s="200">
        <v>2015</v>
      </c>
      <c r="D60" s="1168">
        <f>(G8*0.75/D8)</f>
        <v>4.4999999999999998E-2</v>
      </c>
      <c r="E60" s="1168">
        <f>I8*0.75/E8</f>
        <v>6.0618556701030925E-2</v>
      </c>
      <c r="F60" s="1173"/>
      <c r="G60" s="1173"/>
      <c r="H60" s="1173"/>
      <c r="I60" s="1173"/>
      <c r="J60" s="1173"/>
      <c r="K60" s="1173"/>
      <c r="L60" s="1173"/>
      <c r="M60" s="1173"/>
      <c r="N60" s="1173"/>
      <c r="O60" s="1173"/>
      <c r="P60" s="1173"/>
      <c r="Q60" s="1173"/>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row>
    <row r="61" spans="1:52" ht="15.75" customHeight="1" x14ac:dyDescent="0.2">
      <c r="A61" s="1173"/>
      <c r="B61" s="1175"/>
      <c r="C61" s="200">
        <v>2016</v>
      </c>
      <c r="D61" s="1168">
        <f t="shared" ref="D61:D62" si="4">(G9*0.75/D9)</f>
        <v>4.725E-2</v>
      </c>
      <c r="E61" s="1168">
        <f t="shared" ref="E61:E62" si="5">I9*0.75/E9</f>
        <v>6.0659090909090913E-2</v>
      </c>
      <c r="F61" s="1173"/>
      <c r="G61" s="1173"/>
      <c r="H61" s="1173"/>
      <c r="I61" s="1173"/>
      <c r="J61" s="1173"/>
      <c r="K61" s="1173"/>
      <c r="L61" s="1173"/>
      <c r="M61" s="1173"/>
      <c r="N61" s="1173"/>
      <c r="O61" s="1173"/>
      <c r="P61" s="1173"/>
      <c r="Q61" s="1173"/>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row>
    <row r="62" spans="1:52" ht="15.75" customHeight="1" x14ac:dyDescent="0.2">
      <c r="A62" s="1173"/>
      <c r="B62" s="1173"/>
      <c r="C62" s="200">
        <v>2017</v>
      </c>
      <c r="D62" s="1168">
        <f t="shared" si="4"/>
        <v>4.5753658536585369E-2</v>
      </c>
      <c r="E62" s="1168">
        <f t="shared" si="5"/>
        <v>6.0829629629629629E-2</v>
      </c>
      <c r="F62" s="1173"/>
      <c r="G62" s="1173"/>
      <c r="H62" s="1173"/>
      <c r="I62" s="1173"/>
      <c r="J62" s="1173"/>
      <c r="K62" s="1173"/>
      <c r="L62" s="1173"/>
      <c r="M62" s="1173"/>
      <c r="N62" s="1173"/>
      <c r="O62" s="1173"/>
      <c r="P62" s="1173"/>
      <c r="Q62" s="1173"/>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row>
    <row r="63" spans="1:52" ht="15.75" customHeight="1" x14ac:dyDescent="0.2">
      <c r="A63" s="260"/>
      <c r="B63" s="200"/>
      <c r="C63" s="200" t="s">
        <v>25</v>
      </c>
      <c r="D63" s="1163">
        <f>AVERAGE(D60:D62)</f>
        <v>4.6001219512195123E-2</v>
      </c>
      <c r="E63" s="1163">
        <f>AVERAGE(E60:E62)</f>
        <v>6.070242574658382E-2</v>
      </c>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row>
    <row r="64" spans="1:52" ht="15.75" customHeight="1" x14ac:dyDescent="0.2">
      <c r="A64" s="26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row>
    <row r="65" spans="1:52" ht="15.75" customHeight="1" x14ac:dyDescent="0.2">
      <c r="A65" s="260"/>
      <c r="B65" s="200"/>
      <c r="C65" s="200" t="s">
        <v>485</v>
      </c>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row>
    <row r="66" spans="1:52" ht="15.75" customHeight="1" x14ac:dyDescent="0.2">
      <c r="A66" s="260"/>
      <c r="B66" s="200"/>
      <c r="C66" s="200"/>
      <c r="D66" s="200" t="s">
        <v>848</v>
      </c>
      <c r="E66" s="200" t="s">
        <v>856</v>
      </c>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row>
    <row r="67" spans="1:52" ht="15.75" customHeight="1" x14ac:dyDescent="0.2">
      <c r="A67" s="260"/>
      <c r="B67" s="200"/>
      <c r="C67" s="200">
        <v>2015</v>
      </c>
      <c r="D67" s="248">
        <f>(G8*0.25/D8)</f>
        <v>1.4999999999999999E-2</v>
      </c>
      <c r="E67" s="248">
        <f>I8*0.25/E8</f>
        <v>2.0206185567010308E-2</v>
      </c>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row>
    <row r="68" spans="1:52" ht="15.75" customHeight="1" x14ac:dyDescent="0.2">
      <c r="A68" s="260"/>
      <c r="B68" s="200"/>
      <c r="C68" s="200">
        <v>2016</v>
      </c>
      <c r="D68" s="248">
        <f t="shared" ref="D68:D69" si="6">(G9*0.25/D9)</f>
        <v>1.575E-2</v>
      </c>
      <c r="E68" s="248">
        <f t="shared" ref="E68:E69" si="7">I9*0.25/E9</f>
        <v>2.0219696969696971E-2</v>
      </c>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row>
    <row r="69" spans="1:52" ht="15.75" customHeight="1" x14ac:dyDescent="0.2">
      <c r="A69" s="260"/>
      <c r="B69" s="200"/>
      <c r="C69" s="200">
        <v>2017</v>
      </c>
      <c r="D69" s="248">
        <f t="shared" si="6"/>
        <v>1.5251219512195121E-2</v>
      </c>
      <c r="E69" s="248">
        <f t="shared" si="7"/>
        <v>2.0276543209876544E-2</v>
      </c>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row>
    <row r="70" spans="1:52" ht="15.75" customHeight="1" x14ac:dyDescent="0.2">
      <c r="A70" s="260"/>
      <c r="B70" s="200"/>
      <c r="C70" s="200"/>
      <c r="D70" s="1176">
        <f>AVERAGE(D67:D69)</f>
        <v>1.5333739837398374E-2</v>
      </c>
      <c r="E70" s="1176">
        <f>AVERAGE(E67:E69)</f>
        <v>2.0234141915527942E-2</v>
      </c>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row>
    <row r="71" spans="1:52" ht="15.75" customHeight="1" x14ac:dyDescent="0.2">
      <c r="A71" s="26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row>
    <row r="72" spans="1:52" ht="15.75" customHeight="1" x14ac:dyDescent="0.2">
      <c r="A72" s="260"/>
      <c r="B72" s="200"/>
      <c r="C72" s="200" t="s">
        <v>857</v>
      </c>
      <c r="D72" s="200"/>
      <c r="E72" s="1177">
        <f>SUM(D63:E63)</f>
        <v>0.10670364525877894</v>
      </c>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row>
    <row r="73" spans="1:52" ht="15.75" customHeight="1" x14ac:dyDescent="0.2">
      <c r="A73" s="260"/>
      <c r="B73" s="200"/>
      <c r="C73" s="200" t="s">
        <v>858</v>
      </c>
      <c r="D73" s="200"/>
      <c r="E73" s="1178">
        <f>SUM(D70:E70)+B14+B15</f>
        <v>0.16756788175292631</v>
      </c>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row>
    <row r="74" spans="1:52" ht="15.75" customHeight="1" x14ac:dyDescent="0.2">
      <c r="A74" s="26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row>
    <row r="75" spans="1:52" ht="15.75" customHeight="1" x14ac:dyDescent="0.2">
      <c r="A75" s="200" t="s">
        <v>52</v>
      </c>
      <c r="B75" s="326" t="s">
        <v>859</v>
      </c>
      <c r="C75" s="1179">
        <f>(B16*(1+B19)+E72)/(1-E73-B18)-1</f>
        <v>2.7076319748906119E-2</v>
      </c>
      <c r="D75" s="1179"/>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row>
    <row r="76" spans="1:52" ht="15.75" customHeight="1" x14ac:dyDescent="0.2">
      <c r="A76" s="200"/>
      <c r="B76" s="326" t="s">
        <v>860</v>
      </c>
      <c r="C76" s="326"/>
      <c r="D76" s="326"/>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row>
    <row r="77" spans="1:52" ht="15.75" customHeight="1" x14ac:dyDescent="0.2">
      <c r="A77" s="26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row>
    <row r="78" spans="1:52" ht="15.75" customHeight="1" x14ac:dyDescent="0.2">
      <c r="A78" s="26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row>
    <row r="79" spans="1:52" ht="15.75" customHeight="1" x14ac:dyDescent="0.2">
      <c r="A79" s="26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row>
    <row r="80" spans="1:52" ht="15.75" customHeight="1" x14ac:dyDescent="0.2">
      <c r="A80" s="26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row>
    <row r="81" spans="1:52" ht="15.75" customHeight="1" x14ac:dyDescent="0.2">
      <c r="A81" s="26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row>
    <row r="82" spans="1:52" ht="15.75" customHeight="1" x14ac:dyDescent="0.2">
      <c r="A82" s="26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row>
    <row r="83" spans="1:52" ht="15.75" customHeight="1" x14ac:dyDescent="0.2">
      <c r="A83" s="26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row>
    <row r="84" spans="1:52" ht="15.75" customHeight="1" x14ac:dyDescent="0.2">
      <c r="A84" s="26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row>
    <row r="85" spans="1:52" ht="15.75" customHeight="1" x14ac:dyDescent="0.2">
      <c r="A85" s="26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row>
    <row r="86" spans="1:52" ht="15.75" customHeight="1" x14ac:dyDescent="0.2">
      <c r="A86" s="26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row>
    <row r="87" spans="1:52" ht="15.75" customHeight="1" x14ac:dyDescent="0.2">
      <c r="A87" s="26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row>
    <row r="88" spans="1:52" ht="15.75" customHeight="1" x14ac:dyDescent="0.2">
      <c r="A88" s="26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row>
    <row r="89" spans="1:52" ht="15.75" customHeight="1" x14ac:dyDescent="0.2">
      <c r="A89" s="26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row>
    <row r="90" spans="1:52" ht="15.75" customHeight="1" x14ac:dyDescent="0.2">
      <c r="A90" s="26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row>
    <row r="91" spans="1:52" ht="15.75" customHeight="1" x14ac:dyDescent="0.2">
      <c r="A91" s="26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row>
    <row r="92" spans="1:52" ht="15.75" customHeight="1" x14ac:dyDescent="0.2">
      <c r="A92" s="26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row>
    <row r="93" spans="1:52" ht="15.75" customHeight="1" x14ac:dyDescent="0.2">
      <c r="A93" s="26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row>
    <row r="94" spans="1:52" ht="15.75" customHeight="1" x14ac:dyDescent="0.2">
      <c r="A94" s="26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row>
    <row r="95" spans="1:52" ht="15.75" customHeight="1" x14ac:dyDescent="0.2">
      <c r="A95" s="26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row>
    <row r="96" spans="1:52" ht="15.75" customHeight="1" x14ac:dyDescent="0.2">
      <c r="A96" s="26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row>
    <row r="97" spans="1:52" ht="15.75" customHeight="1" x14ac:dyDescent="0.2">
      <c r="A97" s="26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row>
    <row r="98" spans="1:52" ht="15.75" customHeight="1" x14ac:dyDescent="0.2">
      <c r="A98" s="26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row>
    <row r="99" spans="1:52" ht="15.75" customHeight="1" x14ac:dyDescent="0.2">
      <c r="A99" s="26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row>
    <row r="100" spans="1:52" ht="15.75" customHeight="1" x14ac:dyDescent="0.2">
      <c r="A100" s="26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row>
    <row r="101" spans="1:52" ht="15.75" customHeight="1" x14ac:dyDescent="0.2">
      <c r="A101" s="26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row>
    <row r="102" spans="1:52" ht="15.75" customHeight="1" x14ac:dyDescent="0.2">
      <c r="A102" s="26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row>
    <row r="103" spans="1:52" ht="15.75" customHeight="1" x14ac:dyDescent="0.2">
      <c r="A103" s="26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row>
    <row r="104" spans="1:52" ht="15.75" customHeight="1" x14ac:dyDescent="0.2">
      <c r="A104" s="26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row>
    <row r="105" spans="1:52" ht="15.75" customHeight="1" x14ac:dyDescent="0.2">
      <c r="A105" s="26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row>
    <row r="106" spans="1:52" ht="15.75" customHeight="1" x14ac:dyDescent="0.2">
      <c r="A106" s="26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row>
    <row r="107" spans="1:52" ht="15.75" customHeight="1" x14ac:dyDescent="0.2">
      <c r="A107" s="26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row>
    <row r="108" spans="1:52" ht="15.75" customHeight="1" x14ac:dyDescent="0.2">
      <c r="A108" s="26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row>
    <row r="109" spans="1:52" ht="15.75" customHeight="1" x14ac:dyDescent="0.2">
      <c r="A109" s="26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row>
    <row r="110" spans="1:52" ht="15.75" customHeight="1" x14ac:dyDescent="0.2">
      <c r="A110" s="26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row>
    <row r="111" spans="1:52" ht="15.75" customHeight="1" x14ac:dyDescent="0.2">
      <c r="A111" s="26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row>
    <row r="112" spans="1:52" ht="15.75" customHeight="1" x14ac:dyDescent="0.2">
      <c r="A112" s="26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row>
    <row r="113" spans="1:52" ht="15.75" customHeight="1" x14ac:dyDescent="0.2">
      <c r="A113" s="26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row>
    <row r="114" spans="1:52" ht="15.75" customHeight="1" x14ac:dyDescent="0.2">
      <c r="A114" s="26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row>
    <row r="115" spans="1:52" ht="15.75" customHeight="1" x14ac:dyDescent="0.2">
      <c r="A115" s="26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row>
    <row r="116" spans="1:52" ht="15.75" customHeight="1" x14ac:dyDescent="0.2">
      <c r="A116" s="26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row>
    <row r="117" spans="1:52" ht="15.75" customHeight="1" x14ac:dyDescent="0.2">
      <c r="A117" s="26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row>
    <row r="118" spans="1:52" ht="15.75" customHeight="1" x14ac:dyDescent="0.2">
      <c r="A118" s="26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row>
    <row r="119" spans="1:52" ht="15.75" customHeight="1" x14ac:dyDescent="0.2">
      <c r="A119" s="26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row>
    <row r="120" spans="1:52" ht="15.75" customHeight="1" x14ac:dyDescent="0.2">
      <c r="A120" s="26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row>
    <row r="121" spans="1:52" ht="15.75" customHeight="1" x14ac:dyDescent="0.2">
      <c r="A121" s="26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row>
    <row r="122" spans="1:52" ht="15.75" customHeight="1" x14ac:dyDescent="0.2">
      <c r="A122" s="26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row>
    <row r="123" spans="1:52" ht="15.75" customHeight="1" x14ac:dyDescent="0.2">
      <c r="A123" s="26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row>
    <row r="124" spans="1:52" ht="15.75" customHeight="1" x14ac:dyDescent="0.2">
      <c r="A124" s="26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row>
    <row r="125" spans="1:52" ht="15.75" customHeight="1" x14ac:dyDescent="0.2">
      <c r="A125" s="26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row>
    <row r="126" spans="1:52" ht="15.75" customHeight="1" x14ac:dyDescent="0.2">
      <c r="A126" s="26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row>
    <row r="127" spans="1:52" ht="15.75" customHeight="1" x14ac:dyDescent="0.2">
      <c r="A127" s="26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row>
    <row r="128" spans="1:52" ht="15.75" customHeight="1" x14ac:dyDescent="0.2">
      <c r="A128" s="26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row>
    <row r="129" spans="1:52" ht="15.75" customHeight="1" x14ac:dyDescent="0.2">
      <c r="A129" s="26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row>
    <row r="130" spans="1:52" ht="15.75" customHeight="1" x14ac:dyDescent="0.2">
      <c r="A130" s="26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row>
    <row r="131" spans="1:52" ht="15.75" customHeight="1" x14ac:dyDescent="0.2">
      <c r="A131" s="26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row>
    <row r="132" spans="1:52" ht="15.75" customHeight="1" x14ac:dyDescent="0.2">
      <c r="A132" s="26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row>
    <row r="133" spans="1:52" ht="15.75" customHeight="1" x14ac:dyDescent="0.2">
      <c r="A133" s="26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row>
    <row r="134" spans="1:52" ht="15.75" customHeight="1" x14ac:dyDescent="0.2">
      <c r="A134" s="26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row>
    <row r="135" spans="1:52" ht="15.75" customHeight="1" x14ac:dyDescent="0.2">
      <c r="A135" s="26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row>
    <row r="136" spans="1:52" ht="15.75" customHeight="1" x14ac:dyDescent="0.2">
      <c r="A136" s="26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row>
    <row r="137" spans="1:52" ht="15.75" customHeight="1" x14ac:dyDescent="0.2">
      <c r="A137" s="26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row>
    <row r="138" spans="1:52" ht="15.75" customHeight="1" x14ac:dyDescent="0.2">
      <c r="A138" s="26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row>
    <row r="139" spans="1:52" ht="15.75" customHeight="1" x14ac:dyDescent="0.2">
      <c r="A139" s="26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row>
    <row r="140" spans="1:52" ht="15.75" customHeight="1" x14ac:dyDescent="0.2">
      <c r="A140" s="26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row>
    <row r="141" spans="1:52" ht="15.75" customHeight="1" x14ac:dyDescent="0.2">
      <c r="A141" s="26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row>
    <row r="142" spans="1:52" ht="15.75" customHeight="1" x14ac:dyDescent="0.2">
      <c r="A142" s="26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row>
    <row r="143" spans="1:52" ht="15.75" customHeight="1" x14ac:dyDescent="0.2">
      <c r="A143" s="26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row>
    <row r="144" spans="1:52" ht="15.75" customHeight="1" x14ac:dyDescent="0.2">
      <c r="A144" s="26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row>
    <row r="145" spans="1:52" ht="15.75" customHeight="1" x14ac:dyDescent="0.2">
      <c r="A145" s="26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row>
    <row r="146" spans="1:52" ht="15.75" customHeight="1" x14ac:dyDescent="0.2">
      <c r="A146" s="26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row>
    <row r="147" spans="1:52" ht="15.75" customHeight="1" x14ac:dyDescent="0.2">
      <c r="A147" s="26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row>
    <row r="148" spans="1:52" ht="15.75" customHeight="1" x14ac:dyDescent="0.2">
      <c r="A148" s="26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row>
    <row r="149" spans="1:52" ht="15.75" customHeight="1" x14ac:dyDescent="0.2">
      <c r="A149" s="26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row>
    <row r="150" spans="1:52" ht="15.75" customHeight="1" x14ac:dyDescent="0.2">
      <c r="A150" s="26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row>
    <row r="151" spans="1:52" ht="15.75" customHeight="1" x14ac:dyDescent="0.2">
      <c r="A151" s="26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row>
    <row r="152" spans="1:52" ht="15.75" customHeight="1" x14ac:dyDescent="0.2">
      <c r="A152" s="26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row>
    <row r="153" spans="1:52" ht="15.75" customHeight="1" x14ac:dyDescent="0.2">
      <c r="A153" s="26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row>
    <row r="154" spans="1:52" ht="15.75" customHeight="1" x14ac:dyDescent="0.2">
      <c r="A154" s="26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row>
    <row r="155" spans="1:52" ht="15.75" customHeight="1" x14ac:dyDescent="0.2">
      <c r="A155" s="26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row>
    <row r="156" spans="1:52" ht="15.75" customHeight="1" x14ac:dyDescent="0.2">
      <c r="A156" s="26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row>
    <row r="157" spans="1:52" ht="15.75" customHeight="1" x14ac:dyDescent="0.2">
      <c r="A157" s="26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row>
    <row r="158" spans="1:52" ht="15.75" customHeight="1" x14ac:dyDescent="0.2">
      <c r="A158" s="26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row>
    <row r="159" spans="1:52" ht="15.75" customHeight="1" x14ac:dyDescent="0.2">
      <c r="A159" s="26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row>
    <row r="160" spans="1:52" ht="15.75" customHeight="1" x14ac:dyDescent="0.2">
      <c r="A160" s="26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row>
    <row r="161" spans="1:52" ht="15.75" customHeight="1" x14ac:dyDescent="0.2">
      <c r="A161" s="26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row>
    <row r="162" spans="1:52" ht="15.75" customHeight="1" x14ac:dyDescent="0.2">
      <c r="A162" s="26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row>
    <row r="163" spans="1:52" ht="15.75" customHeight="1" x14ac:dyDescent="0.2">
      <c r="A163" s="26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row>
    <row r="164" spans="1:52" ht="15.75" customHeight="1" x14ac:dyDescent="0.2">
      <c r="A164" s="26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row>
    <row r="165" spans="1:52" ht="15.75" customHeight="1" x14ac:dyDescent="0.2">
      <c r="A165" s="26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row>
    <row r="166" spans="1:52" ht="15.75" customHeight="1" x14ac:dyDescent="0.2">
      <c r="A166" s="26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row>
    <row r="167" spans="1:52" ht="15.75" customHeight="1" x14ac:dyDescent="0.2">
      <c r="A167" s="26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row>
    <row r="168" spans="1:52" ht="15.75" customHeight="1" x14ac:dyDescent="0.2">
      <c r="A168" s="26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row>
    <row r="169" spans="1:52" ht="15.75" customHeight="1" x14ac:dyDescent="0.2">
      <c r="A169" s="26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row>
    <row r="170" spans="1:52" ht="15.75" customHeight="1" x14ac:dyDescent="0.2">
      <c r="A170" s="26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row>
    <row r="171" spans="1:52" ht="15.75" customHeight="1" x14ac:dyDescent="0.2">
      <c r="A171" s="26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row>
    <row r="172" spans="1:52" ht="15.75" customHeight="1" x14ac:dyDescent="0.2">
      <c r="A172" s="26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row>
    <row r="173" spans="1:52" ht="15.75" customHeight="1" x14ac:dyDescent="0.2">
      <c r="A173" s="26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row>
    <row r="174" spans="1:52" ht="15.75" customHeight="1" x14ac:dyDescent="0.2">
      <c r="A174" s="26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row>
    <row r="175" spans="1:52" ht="15.75" customHeight="1" x14ac:dyDescent="0.2">
      <c r="A175" s="26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row>
    <row r="176" spans="1:52" ht="15.75" customHeight="1" x14ac:dyDescent="0.2">
      <c r="A176" s="26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row>
    <row r="177" spans="1:52" ht="15.75" customHeight="1" x14ac:dyDescent="0.2">
      <c r="A177" s="26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row>
    <row r="178" spans="1:52" ht="15.75" customHeight="1" x14ac:dyDescent="0.2">
      <c r="A178" s="26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row>
    <row r="179" spans="1:52" ht="15.75" customHeight="1" x14ac:dyDescent="0.2">
      <c r="A179" s="26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row>
    <row r="180" spans="1:52" ht="15.75" customHeight="1" x14ac:dyDescent="0.2">
      <c r="A180" s="26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row>
    <row r="181" spans="1:52" ht="15.75" customHeight="1" x14ac:dyDescent="0.2">
      <c r="A181" s="26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row>
    <row r="182" spans="1:52" ht="15.75" customHeight="1" x14ac:dyDescent="0.2">
      <c r="A182" s="26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row>
    <row r="183" spans="1:52" ht="15.75" customHeight="1" x14ac:dyDescent="0.2">
      <c r="A183" s="26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row>
    <row r="184" spans="1:52" ht="15.75" customHeight="1" x14ac:dyDescent="0.2">
      <c r="A184" s="26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row>
    <row r="185" spans="1:52" ht="15.75" customHeight="1" x14ac:dyDescent="0.2">
      <c r="A185" s="26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row>
    <row r="186" spans="1:52" ht="15.75" customHeight="1" x14ac:dyDescent="0.2">
      <c r="A186" s="26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row>
    <row r="187" spans="1:52" ht="15.75" customHeight="1" x14ac:dyDescent="0.2">
      <c r="A187" s="26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row>
    <row r="188" spans="1:52" ht="15.75" customHeight="1" x14ac:dyDescent="0.2">
      <c r="A188" s="26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row>
    <row r="189" spans="1:52" ht="15.75" customHeight="1" x14ac:dyDescent="0.2">
      <c r="A189" s="26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row>
    <row r="190" spans="1:52" ht="15.75" customHeight="1" x14ac:dyDescent="0.2">
      <c r="A190" s="26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row>
    <row r="191" spans="1:52" ht="15.75" customHeight="1" x14ac:dyDescent="0.2">
      <c r="A191" s="26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row>
    <row r="192" spans="1:52" ht="15.75" customHeight="1" x14ac:dyDescent="0.2">
      <c r="A192" s="26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row>
    <row r="193" spans="1:52" ht="15.75" customHeight="1" x14ac:dyDescent="0.2">
      <c r="A193" s="26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row>
    <row r="194" spans="1:52" ht="15.75" customHeight="1" x14ac:dyDescent="0.2">
      <c r="A194" s="26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row>
    <row r="195" spans="1:52" ht="15.75" customHeight="1" x14ac:dyDescent="0.2">
      <c r="A195" s="26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row>
    <row r="196" spans="1:52" ht="0" hidden="1" customHeight="1" x14ac:dyDescent="0.2">
      <c r="A196" s="262"/>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row>
    <row r="197" spans="1:52" ht="0" hidden="1" customHeight="1" x14ac:dyDescent="0.2">
      <c r="A197" s="262"/>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row>
    <row r="198" spans="1:52" ht="0" hidden="1" customHeight="1" x14ac:dyDescent="0.2">
      <c r="A198" s="262"/>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row>
    <row r="199" spans="1:52" ht="0" hidden="1" customHeight="1" x14ac:dyDescent="0.2">
      <c r="A199" s="262"/>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row>
    <row r="200" spans="1:52" ht="0" hidden="1" customHeight="1" x14ac:dyDescent="0.2">
      <c r="A200" s="262"/>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row>
  </sheetData>
  <sheetProtection formatCells="0" formatColumns="0" formatRows="0" autoFilter="0"/>
  <mergeCells count="2">
    <mergeCell ref="B6:I6"/>
    <mergeCell ref="B12:D12"/>
  </mergeCells>
  <pageMargins left="0.75" right="0.75" top="1" bottom="1" header="0.5" footer="0.5"/>
  <pageSetup scale="61" orientation="portrait" r:id="rId1"/>
  <headerFooter alignWithMargins="0">
    <oddHeader>&amp;CSpring 2018 Exam 5 Make-Up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W201"/>
  <sheetViews>
    <sheetView topLeftCell="A16" zoomScale="90" zoomScaleNormal="90" zoomScalePageLayoutView="90" workbookViewId="0"/>
  </sheetViews>
  <sheetFormatPr defaultColWidth="0" defaultRowHeight="0" customHeight="1" zeroHeight="1" x14ac:dyDescent="0.2"/>
  <cols>
    <col min="1" max="4" width="17.25" style="201" customWidth="1"/>
    <col min="5" max="5" width="16.125" style="201" customWidth="1"/>
    <col min="6" max="6" width="8.875" style="201" customWidth="1"/>
    <col min="7" max="7" width="21" style="201" customWidth="1"/>
    <col min="8" max="8" width="11.375" style="201" customWidth="1"/>
    <col min="9" max="9" width="12" style="201" customWidth="1"/>
    <col min="10" max="10" width="8.875" style="201" customWidth="1"/>
    <col min="11" max="11" width="13.125" style="201" customWidth="1"/>
    <col min="12" max="12" width="5.625" style="201" customWidth="1"/>
    <col min="13" max="13" width="10.5" style="201" customWidth="1"/>
    <col min="14" max="49" width="8.875" style="201" customWidth="1"/>
    <col min="50" max="16384" width="8.875" style="201" hidden="1"/>
  </cols>
  <sheetData>
    <row r="1" spans="1:699" ht="15.75" customHeight="1" thickBot="1" x14ac:dyDescent="0.25">
      <c r="A1" s="1">
        <v>6</v>
      </c>
      <c r="B1" s="2"/>
      <c r="C1" s="33"/>
      <c r="D1" s="33"/>
      <c r="E1" s="33"/>
      <c r="F1" s="33"/>
      <c r="G1" s="34"/>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row>
    <row r="2" spans="1:699" ht="15.75" customHeight="1" x14ac:dyDescent="0.2">
      <c r="A2" s="38" t="s">
        <v>0</v>
      </c>
      <c r="B2" s="39"/>
      <c r="C2" s="39"/>
      <c r="D2" s="39"/>
      <c r="E2" s="39"/>
      <c r="F2" s="39"/>
      <c r="G2" s="40"/>
      <c r="H2" s="200"/>
      <c r="I2" s="200" t="s">
        <v>19</v>
      </c>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row>
    <row r="3" spans="1:699" ht="15.75" customHeight="1" x14ac:dyDescent="0.2">
      <c r="A3" s="42">
        <v>4.5</v>
      </c>
      <c r="B3" s="39"/>
      <c r="C3" s="39"/>
      <c r="D3" s="39"/>
      <c r="E3" s="39"/>
      <c r="F3" s="39"/>
      <c r="G3" s="40"/>
      <c r="H3" s="200"/>
      <c r="I3" s="200" t="s">
        <v>180</v>
      </c>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row>
    <row r="4" spans="1:699" ht="15.75" customHeight="1" x14ac:dyDescent="0.2">
      <c r="A4" s="42"/>
      <c r="B4" s="88" t="s">
        <v>181</v>
      </c>
      <c r="C4" s="39"/>
      <c r="D4" s="39"/>
      <c r="E4" s="39"/>
      <c r="F4" s="39"/>
      <c r="G4" s="47"/>
      <c r="H4" s="200"/>
      <c r="I4" s="200" t="s">
        <v>182</v>
      </c>
      <c r="J4" s="202" t="s">
        <v>183</v>
      </c>
      <c r="K4" s="200" t="s">
        <v>184</v>
      </c>
      <c r="L4" s="200" t="s">
        <v>185</v>
      </c>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row>
    <row r="5" spans="1:699" ht="15.75" customHeight="1" thickBot="1" x14ac:dyDescent="0.25">
      <c r="A5" s="42"/>
      <c r="B5" s="88"/>
      <c r="C5" s="39"/>
      <c r="D5" s="39"/>
      <c r="E5" s="39"/>
      <c r="F5" s="39"/>
      <c r="G5" s="47"/>
      <c r="H5" s="200"/>
      <c r="I5" s="200">
        <v>2015</v>
      </c>
      <c r="J5" s="200">
        <f>D16/C16</f>
        <v>1.5</v>
      </c>
      <c r="K5" s="200">
        <f t="shared" ref="K5" si="0">E16/D16</f>
        <v>1.1499999999999999</v>
      </c>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row>
    <row r="6" spans="1:699" ht="15.75" customHeight="1" thickBot="1" x14ac:dyDescent="0.25">
      <c r="A6" s="42"/>
      <c r="B6" s="203" t="s">
        <v>186</v>
      </c>
      <c r="C6" s="204"/>
      <c r="D6" s="39"/>
      <c r="E6" s="39"/>
      <c r="F6" s="39"/>
      <c r="G6" s="47"/>
      <c r="H6" s="200"/>
      <c r="I6" s="200">
        <v>2016</v>
      </c>
      <c r="J6" s="200">
        <f t="shared" ref="J6" si="1">D17/C17</f>
        <v>1.5</v>
      </c>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row>
    <row r="7" spans="1:699" ht="15.75" customHeight="1" thickBot="1" x14ac:dyDescent="0.25">
      <c r="A7" s="42"/>
      <c r="B7" s="205" t="s">
        <v>187</v>
      </c>
      <c r="C7" s="206" t="s">
        <v>188</v>
      </c>
      <c r="D7" s="39"/>
      <c r="E7" s="39"/>
      <c r="F7" s="39"/>
      <c r="G7" s="57"/>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row>
    <row r="8" spans="1:699" ht="15.75" customHeight="1" x14ac:dyDescent="0.2">
      <c r="A8" s="42"/>
      <c r="B8" s="207">
        <v>42552</v>
      </c>
      <c r="C8" s="208">
        <v>0.08</v>
      </c>
      <c r="D8" s="209"/>
      <c r="E8" s="209"/>
      <c r="F8" s="210"/>
      <c r="G8" s="61"/>
      <c r="H8" s="200"/>
      <c r="I8" s="200" t="s">
        <v>189</v>
      </c>
      <c r="J8" s="200">
        <f>AVERAGE(J5:J6)</f>
        <v>1.5</v>
      </c>
      <c r="K8" s="200">
        <f>AVERAGE(K5:K6)</f>
        <v>1.1499999999999999</v>
      </c>
      <c r="L8" s="200"/>
      <c r="M8" s="200" t="s">
        <v>190</v>
      </c>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row>
    <row r="9" spans="1:699" ht="15.75" customHeight="1" thickBot="1" x14ac:dyDescent="0.25">
      <c r="A9" s="42"/>
      <c r="B9" s="211">
        <v>42917</v>
      </c>
      <c r="C9" s="212">
        <v>0.05</v>
      </c>
      <c r="D9" s="209"/>
      <c r="E9" s="209"/>
      <c r="F9" s="210"/>
      <c r="G9" s="61"/>
      <c r="H9" s="200"/>
      <c r="I9" s="200" t="s">
        <v>162</v>
      </c>
      <c r="J9" s="200">
        <f t="shared" ref="J9:K9" si="2">J8*K9</f>
        <v>1.7249999999999999</v>
      </c>
      <c r="K9" s="200">
        <f t="shared" si="2"/>
        <v>1.1499999999999999</v>
      </c>
      <c r="L9" s="200">
        <v>1</v>
      </c>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row>
    <row r="10" spans="1:699" s="214" customFormat="1" ht="15.75" customHeight="1" thickBot="1" x14ac:dyDescent="0.25">
      <c r="A10" s="42"/>
      <c r="B10" s="213"/>
      <c r="C10" s="209"/>
      <c r="D10" s="209"/>
      <c r="E10" s="209"/>
      <c r="F10" s="210"/>
      <c r="G10" s="61"/>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201"/>
      <c r="DL10" s="201"/>
      <c r="DM10" s="201"/>
      <c r="DN10" s="201"/>
      <c r="DO10" s="201"/>
      <c r="DP10" s="201"/>
      <c r="DQ10" s="201"/>
      <c r="DR10" s="201"/>
      <c r="DS10" s="201"/>
      <c r="DT10" s="201"/>
      <c r="DU10" s="201"/>
      <c r="DV10" s="201"/>
      <c r="DW10" s="201"/>
      <c r="DX10" s="201"/>
      <c r="DY10" s="201"/>
      <c r="DZ10" s="201"/>
      <c r="EA10" s="201"/>
      <c r="EB10" s="201"/>
      <c r="EC10" s="201"/>
      <c r="ED10" s="201"/>
      <c r="EE10" s="201"/>
      <c r="EF10" s="201"/>
      <c r="EG10" s="201"/>
      <c r="EH10" s="201"/>
      <c r="EI10" s="201"/>
      <c r="EJ10" s="201"/>
      <c r="EK10" s="201"/>
      <c r="EL10" s="201"/>
      <c r="EM10" s="201"/>
      <c r="EN10" s="201"/>
      <c r="EO10" s="201"/>
      <c r="EP10" s="201"/>
      <c r="EQ10" s="201"/>
      <c r="ER10" s="201"/>
      <c r="ES10" s="201"/>
      <c r="ET10" s="201"/>
      <c r="EU10" s="201"/>
      <c r="EV10" s="201"/>
      <c r="EW10" s="201"/>
      <c r="EX10" s="201"/>
      <c r="EY10" s="201"/>
      <c r="EZ10" s="201"/>
      <c r="FA10" s="201"/>
      <c r="FB10" s="201"/>
      <c r="FC10" s="201"/>
      <c r="FD10" s="201"/>
      <c r="FE10" s="201"/>
      <c r="FF10" s="201"/>
      <c r="FG10" s="201"/>
      <c r="FH10" s="201"/>
      <c r="FI10" s="201"/>
      <c r="FJ10" s="201"/>
      <c r="FK10" s="201"/>
      <c r="FL10" s="201"/>
      <c r="FM10" s="201"/>
      <c r="FN10" s="201"/>
      <c r="FO10" s="201"/>
      <c r="FP10" s="201"/>
      <c r="FQ10" s="201"/>
      <c r="FR10" s="201"/>
      <c r="FS10" s="201"/>
      <c r="FT10" s="201"/>
      <c r="FU10" s="201"/>
      <c r="FV10" s="201"/>
      <c r="FW10" s="201"/>
      <c r="FX10" s="201"/>
      <c r="FY10" s="201"/>
      <c r="FZ10" s="201"/>
      <c r="GA10" s="201"/>
      <c r="GB10" s="201"/>
      <c r="GC10" s="201"/>
      <c r="GD10" s="201"/>
      <c r="GE10" s="201"/>
      <c r="GF10" s="201"/>
      <c r="GG10" s="201"/>
      <c r="GH10" s="201"/>
      <c r="GI10" s="201"/>
      <c r="GJ10" s="201"/>
      <c r="GK10" s="201"/>
      <c r="GL10" s="201"/>
      <c r="GM10" s="201"/>
      <c r="GN10" s="201"/>
      <c r="GO10" s="201"/>
      <c r="GP10" s="201"/>
      <c r="GQ10" s="201"/>
      <c r="GR10" s="201"/>
      <c r="GS10" s="201"/>
      <c r="GT10" s="201"/>
      <c r="GU10" s="201"/>
      <c r="GV10" s="201"/>
      <c r="GW10" s="201"/>
      <c r="GX10" s="201"/>
      <c r="GY10" s="201"/>
      <c r="GZ10" s="201"/>
      <c r="HA10" s="201"/>
      <c r="HB10" s="201"/>
      <c r="HC10" s="201"/>
      <c r="HD10" s="201"/>
      <c r="HE10" s="201"/>
      <c r="HF10" s="201"/>
      <c r="HG10" s="201"/>
      <c r="HH10" s="201"/>
      <c r="HI10" s="201"/>
      <c r="HJ10" s="201"/>
      <c r="HK10" s="201"/>
      <c r="HL10" s="201"/>
      <c r="HM10" s="201"/>
      <c r="HN10" s="201"/>
      <c r="HO10" s="201"/>
      <c r="HP10" s="201"/>
      <c r="HQ10" s="201"/>
      <c r="HR10" s="201"/>
      <c r="HS10" s="201"/>
      <c r="HT10" s="201"/>
      <c r="HU10" s="201"/>
      <c r="HV10" s="201"/>
      <c r="HW10" s="201"/>
      <c r="HX10" s="201"/>
      <c r="HY10" s="201"/>
      <c r="HZ10" s="201"/>
      <c r="IA10" s="201"/>
      <c r="IB10" s="201"/>
      <c r="IC10" s="201"/>
      <c r="ID10" s="201"/>
      <c r="IE10" s="201"/>
      <c r="IF10" s="201"/>
      <c r="IG10" s="201"/>
      <c r="IH10" s="201"/>
      <c r="II10" s="201"/>
      <c r="IJ10" s="201"/>
      <c r="IK10" s="201"/>
      <c r="IL10" s="201"/>
      <c r="IM10" s="201"/>
      <c r="IN10" s="201"/>
      <c r="IO10" s="201"/>
      <c r="IP10" s="201"/>
      <c r="IQ10" s="201"/>
      <c r="IR10" s="201"/>
      <c r="IS10" s="201"/>
      <c r="IT10" s="201"/>
      <c r="IU10" s="201"/>
      <c r="IV10" s="201"/>
      <c r="IW10" s="201"/>
      <c r="IX10" s="201"/>
      <c r="IY10" s="201"/>
      <c r="IZ10" s="201"/>
      <c r="JA10" s="201"/>
      <c r="JB10" s="201"/>
      <c r="JC10" s="201"/>
      <c r="JD10" s="201"/>
      <c r="JE10" s="201"/>
      <c r="JF10" s="201"/>
      <c r="JG10" s="201"/>
      <c r="JH10" s="201"/>
      <c r="JI10" s="201"/>
      <c r="JJ10" s="201"/>
      <c r="JK10" s="201"/>
      <c r="JL10" s="201"/>
      <c r="JM10" s="201"/>
      <c r="JN10" s="201"/>
      <c r="JO10" s="201"/>
      <c r="JP10" s="201"/>
      <c r="JQ10" s="201"/>
      <c r="JR10" s="201"/>
      <c r="JS10" s="201"/>
      <c r="JT10" s="201"/>
      <c r="JU10" s="201"/>
      <c r="JV10" s="201"/>
      <c r="JW10" s="201"/>
      <c r="JX10" s="201"/>
      <c r="JY10" s="201"/>
      <c r="JZ10" s="201"/>
      <c r="KA10" s="201"/>
      <c r="KB10" s="201"/>
      <c r="KC10" s="201"/>
      <c r="KD10" s="201"/>
      <c r="KE10" s="201"/>
      <c r="KF10" s="201"/>
      <c r="KG10" s="201"/>
      <c r="KH10" s="201"/>
      <c r="KI10" s="201"/>
      <c r="KJ10" s="201"/>
      <c r="KK10" s="201"/>
      <c r="KL10" s="201"/>
      <c r="KM10" s="201"/>
      <c r="KN10" s="201"/>
      <c r="KO10" s="201"/>
      <c r="KP10" s="201"/>
      <c r="KQ10" s="201"/>
      <c r="KR10" s="201"/>
      <c r="KS10" s="201"/>
      <c r="KT10" s="201"/>
      <c r="KU10" s="201"/>
      <c r="KV10" s="201"/>
      <c r="KW10" s="201"/>
      <c r="KX10" s="201"/>
      <c r="KY10" s="201"/>
      <c r="KZ10" s="201"/>
      <c r="LA10" s="201"/>
      <c r="LB10" s="201"/>
      <c r="LC10" s="201"/>
      <c r="LD10" s="201"/>
      <c r="LE10" s="201"/>
      <c r="LF10" s="201"/>
      <c r="LG10" s="201"/>
      <c r="LH10" s="201"/>
      <c r="LI10" s="201"/>
      <c r="LJ10" s="201"/>
      <c r="LK10" s="201"/>
      <c r="LL10" s="201"/>
      <c r="LM10" s="201"/>
      <c r="LN10" s="201"/>
      <c r="LO10" s="201"/>
      <c r="LP10" s="201"/>
      <c r="LQ10" s="201"/>
      <c r="LR10" s="201"/>
      <c r="LS10" s="201"/>
      <c r="LT10" s="201"/>
      <c r="LU10" s="201"/>
      <c r="LV10" s="201"/>
      <c r="LW10" s="201"/>
      <c r="LX10" s="201"/>
      <c r="LY10" s="201"/>
      <c r="LZ10" s="201"/>
      <c r="MA10" s="201"/>
      <c r="MB10" s="201"/>
      <c r="MC10" s="201"/>
      <c r="MD10" s="201"/>
      <c r="ME10" s="201"/>
      <c r="MF10" s="201"/>
      <c r="MG10" s="201"/>
      <c r="MH10" s="201"/>
      <c r="MI10" s="201"/>
      <c r="MJ10" s="201"/>
      <c r="MK10" s="201"/>
      <c r="ML10" s="201"/>
      <c r="MM10" s="201"/>
      <c r="MN10" s="201"/>
      <c r="MO10" s="201"/>
      <c r="MP10" s="201"/>
      <c r="MQ10" s="201"/>
      <c r="MR10" s="201"/>
      <c r="MS10" s="201"/>
      <c r="MT10" s="201"/>
      <c r="MU10" s="201"/>
      <c r="MV10" s="201"/>
      <c r="MW10" s="201"/>
      <c r="MX10" s="201"/>
      <c r="MY10" s="201"/>
      <c r="MZ10" s="201"/>
      <c r="NA10" s="201"/>
      <c r="NB10" s="201"/>
      <c r="NC10" s="201"/>
      <c r="ND10" s="201"/>
      <c r="NE10" s="201"/>
      <c r="NF10" s="201"/>
      <c r="NG10" s="201"/>
      <c r="NH10" s="201"/>
      <c r="NI10" s="201"/>
      <c r="NJ10" s="201"/>
      <c r="NK10" s="201"/>
      <c r="NL10" s="201"/>
      <c r="NM10" s="201"/>
      <c r="NN10" s="201"/>
      <c r="NO10" s="201"/>
      <c r="NP10" s="201"/>
      <c r="NQ10" s="201"/>
      <c r="NR10" s="201"/>
      <c r="NS10" s="201"/>
      <c r="NT10" s="201"/>
      <c r="NU10" s="201"/>
      <c r="NV10" s="201"/>
      <c r="NW10" s="201"/>
      <c r="NX10" s="201"/>
      <c r="NY10" s="201"/>
      <c r="NZ10" s="201"/>
      <c r="OA10" s="201"/>
      <c r="OB10" s="201"/>
      <c r="OC10" s="201"/>
      <c r="OD10" s="201"/>
      <c r="OE10" s="201"/>
      <c r="OF10" s="201"/>
      <c r="OG10" s="201"/>
      <c r="OH10" s="201"/>
      <c r="OI10" s="201"/>
      <c r="OJ10" s="201"/>
      <c r="OK10" s="201"/>
      <c r="OL10" s="201"/>
      <c r="OM10" s="201"/>
      <c r="ON10" s="201"/>
      <c r="OO10" s="201"/>
      <c r="OP10" s="201"/>
      <c r="OQ10" s="201"/>
      <c r="OR10" s="201"/>
      <c r="OS10" s="201"/>
      <c r="OT10" s="201"/>
      <c r="OU10" s="201"/>
      <c r="OV10" s="201"/>
      <c r="OW10" s="201"/>
      <c r="OX10" s="201"/>
      <c r="OY10" s="201"/>
      <c r="OZ10" s="201"/>
      <c r="PA10" s="201"/>
      <c r="PB10" s="201"/>
      <c r="PC10" s="201"/>
      <c r="PD10" s="201"/>
      <c r="PE10" s="201"/>
      <c r="PF10" s="201"/>
      <c r="PG10" s="201"/>
      <c r="PH10" s="201"/>
      <c r="PI10" s="201"/>
      <c r="PJ10" s="201"/>
      <c r="PK10" s="201"/>
      <c r="PL10" s="201"/>
      <c r="PM10" s="201"/>
      <c r="PN10" s="201"/>
      <c r="PO10" s="201"/>
      <c r="PP10" s="201"/>
      <c r="PQ10" s="201"/>
      <c r="PR10" s="201"/>
      <c r="PS10" s="201"/>
      <c r="PT10" s="201"/>
      <c r="PU10" s="201"/>
      <c r="PV10" s="201"/>
      <c r="PW10" s="201"/>
      <c r="PX10" s="201"/>
      <c r="PY10" s="201"/>
      <c r="PZ10" s="201"/>
      <c r="QA10" s="201"/>
      <c r="QB10" s="201"/>
      <c r="QC10" s="201"/>
      <c r="QD10" s="201"/>
      <c r="QE10" s="201"/>
      <c r="QF10" s="201"/>
      <c r="QG10" s="201"/>
      <c r="QH10" s="201"/>
      <c r="QI10" s="201"/>
      <c r="QJ10" s="201"/>
      <c r="QK10" s="201"/>
      <c r="QL10" s="201"/>
      <c r="QM10" s="201"/>
      <c r="QN10" s="201"/>
      <c r="QO10" s="201"/>
      <c r="QP10" s="201"/>
      <c r="QQ10" s="201"/>
      <c r="QR10" s="201"/>
      <c r="QS10" s="201"/>
      <c r="QT10" s="201"/>
      <c r="QU10" s="201"/>
      <c r="QV10" s="201"/>
      <c r="QW10" s="201"/>
      <c r="QX10" s="201"/>
      <c r="QY10" s="201"/>
      <c r="QZ10" s="201"/>
      <c r="RA10" s="201"/>
      <c r="RB10" s="201"/>
      <c r="RC10" s="201"/>
      <c r="RD10" s="201"/>
      <c r="RE10" s="201"/>
      <c r="RF10" s="201"/>
      <c r="RG10" s="201"/>
      <c r="RH10" s="201"/>
      <c r="RI10" s="201"/>
      <c r="RJ10" s="201"/>
      <c r="RK10" s="201"/>
      <c r="RL10" s="201"/>
      <c r="RM10" s="201"/>
      <c r="RN10" s="201"/>
      <c r="RO10" s="201"/>
      <c r="RP10" s="201"/>
      <c r="RQ10" s="201"/>
      <c r="RR10" s="201"/>
      <c r="RS10" s="201"/>
      <c r="RT10" s="201"/>
      <c r="RU10" s="201"/>
      <c r="RV10" s="201"/>
      <c r="RW10" s="201"/>
      <c r="RX10" s="201"/>
      <c r="RY10" s="201"/>
      <c r="RZ10" s="201"/>
      <c r="SA10" s="201"/>
      <c r="SB10" s="201"/>
      <c r="SC10" s="201"/>
      <c r="SD10" s="201"/>
      <c r="SE10" s="201"/>
      <c r="SF10" s="201"/>
      <c r="SG10" s="201"/>
      <c r="SH10" s="201"/>
      <c r="SI10" s="201"/>
      <c r="SJ10" s="201"/>
      <c r="SK10" s="201"/>
      <c r="SL10" s="201"/>
      <c r="SM10" s="201"/>
      <c r="SN10" s="201"/>
      <c r="SO10" s="201"/>
      <c r="SP10" s="201"/>
      <c r="SQ10" s="201"/>
      <c r="SR10" s="201"/>
      <c r="SS10" s="201"/>
      <c r="ST10" s="201"/>
      <c r="SU10" s="201"/>
      <c r="SV10" s="201"/>
      <c r="SW10" s="201"/>
      <c r="SX10" s="201"/>
      <c r="SY10" s="201"/>
      <c r="SZ10" s="201"/>
      <c r="TA10" s="201"/>
      <c r="TB10" s="201"/>
      <c r="TC10" s="201"/>
      <c r="TD10" s="201"/>
      <c r="TE10" s="201"/>
      <c r="TF10" s="201"/>
      <c r="TG10" s="201"/>
      <c r="TH10" s="201"/>
      <c r="TI10" s="201"/>
      <c r="TJ10" s="201"/>
      <c r="TK10" s="201"/>
      <c r="TL10" s="201"/>
      <c r="TM10" s="201"/>
      <c r="TN10" s="201"/>
      <c r="TO10" s="201"/>
      <c r="TP10" s="201"/>
      <c r="TQ10" s="201"/>
      <c r="TR10" s="201"/>
      <c r="TS10" s="201"/>
      <c r="TT10" s="201"/>
      <c r="TU10" s="201"/>
      <c r="TV10" s="201"/>
      <c r="TW10" s="201"/>
      <c r="TX10" s="201"/>
      <c r="TY10" s="201"/>
      <c r="TZ10" s="201"/>
      <c r="UA10" s="201"/>
      <c r="UB10" s="201"/>
      <c r="UC10" s="201"/>
      <c r="UD10" s="201"/>
      <c r="UE10" s="201"/>
      <c r="UF10" s="201"/>
      <c r="UG10" s="201"/>
      <c r="UH10" s="201"/>
      <c r="UI10" s="201"/>
      <c r="UJ10" s="201"/>
      <c r="UK10" s="201"/>
      <c r="UL10" s="201"/>
      <c r="UM10" s="201"/>
      <c r="UN10" s="201"/>
      <c r="UO10" s="201"/>
      <c r="UP10" s="201"/>
      <c r="UQ10" s="201"/>
      <c r="UR10" s="201"/>
      <c r="US10" s="201"/>
      <c r="UT10" s="201"/>
      <c r="UU10" s="201"/>
      <c r="UV10" s="201"/>
      <c r="UW10" s="201"/>
      <c r="UX10" s="201"/>
      <c r="UY10" s="201"/>
      <c r="UZ10" s="201"/>
      <c r="VA10" s="201"/>
      <c r="VB10" s="201"/>
      <c r="VC10" s="201"/>
      <c r="VD10" s="201"/>
      <c r="VE10" s="201"/>
      <c r="VF10" s="201"/>
      <c r="VG10" s="201"/>
      <c r="VH10" s="201"/>
      <c r="VI10" s="201"/>
      <c r="VJ10" s="201"/>
      <c r="VK10" s="201"/>
      <c r="VL10" s="201"/>
      <c r="VM10" s="201"/>
      <c r="VN10" s="201"/>
      <c r="VO10" s="201"/>
      <c r="VP10" s="201"/>
      <c r="VQ10" s="201"/>
      <c r="VR10" s="201"/>
      <c r="VS10" s="201"/>
      <c r="VT10" s="201"/>
      <c r="VU10" s="201"/>
      <c r="VV10" s="201"/>
      <c r="VW10" s="201"/>
      <c r="VX10" s="201"/>
      <c r="VY10" s="201"/>
      <c r="VZ10" s="201"/>
      <c r="WA10" s="201"/>
      <c r="WB10" s="201"/>
      <c r="WC10" s="201"/>
      <c r="WD10" s="201"/>
      <c r="WE10" s="201"/>
      <c r="WF10" s="201"/>
      <c r="WG10" s="201"/>
      <c r="WH10" s="201"/>
      <c r="WI10" s="201"/>
      <c r="WJ10" s="201"/>
      <c r="WK10" s="201"/>
      <c r="WL10" s="201"/>
      <c r="WM10" s="201"/>
      <c r="WN10" s="201"/>
      <c r="WO10" s="201"/>
      <c r="WP10" s="201"/>
      <c r="WQ10" s="201"/>
      <c r="WR10" s="201"/>
      <c r="WS10" s="201"/>
      <c r="WT10" s="201"/>
      <c r="WU10" s="201"/>
      <c r="WV10" s="201"/>
      <c r="WW10" s="201"/>
      <c r="WX10" s="201"/>
      <c r="WY10" s="201"/>
      <c r="WZ10" s="201"/>
      <c r="XA10" s="201"/>
      <c r="XB10" s="201"/>
      <c r="XC10" s="201"/>
      <c r="XD10" s="201"/>
      <c r="XE10" s="201"/>
      <c r="XF10" s="201"/>
      <c r="XG10" s="201"/>
      <c r="XH10" s="201"/>
      <c r="XI10" s="201"/>
      <c r="XJ10" s="201"/>
      <c r="XK10" s="201"/>
      <c r="XL10" s="201"/>
      <c r="XM10" s="201"/>
      <c r="XN10" s="201"/>
      <c r="XO10" s="201"/>
      <c r="XP10" s="201"/>
      <c r="XQ10" s="201"/>
      <c r="XR10" s="201"/>
      <c r="XS10" s="201"/>
      <c r="XT10" s="201"/>
      <c r="XU10" s="201"/>
      <c r="XV10" s="201"/>
      <c r="XW10" s="201"/>
      <c r="XX10" s="201"/>
      <c r="XY10" s="201"/>
      <c r="XZ10" s="201"/>
      <c r="YA10" s="201"/>
      <c r="YB10" s="201"/>
      <c r="YC10" s="201"/>
      <c r="YD10" s="201"/>
      <c r="YE10" s="201"/>
      <c r="YF10" s="201"/>
      <c r="YG10" s="201"/>
      <c r="YH10" s="201"/>
      <c r="YI10" s="201"/>
      <c r="YJ10" s="201"/>
      <c r="YK10" s="201"/>
      <c r="YL10" s="201"/>
      <c r="YM10" s="201"/>
      <c r="YN10" s="201"/>
      <c r="YO10" s="201"/>
      <c r="YP10" s="201"/>
      <c r="YQ10" s="201"/>
      <c r="YR10" s="201"/>
      <c r="YS10" s="201"/>
      <c r="YT10" s="201"/>
      <c r="YU10" s="201"/>
      <c r="YV10" s="201"/>
      <c r="YW10" s="201"/>
      <c r="YX10" s="201"/>
      <c r="YY10" s="201"/>
      <c r="YZ10" s="201"/>
      <c r="ZA10" s="201"/>
      <c r="ZB10" s="201"/>
      <c r="ZC10" s="201"/>
      <c r="ZD10" s="201"/>
      <c r="ZE10" s="201"/>
      <c r="ZF10" s="201"/>
      <c r="ZG10" s="201"/>
      <c r="ZH10" s="201"/>
      <c r="ZI10" s="201"/>
      <c r="ZJ10" s="201"/>
      <c r="ZK10" s="201"/>
      <c r="ZL10" s="201"/>
      <c r="ZM10" s="201"/>
      <c r="ZN10" s="201"/>
      <c r="ZO10" s="201"/>
      <c r="ZP10" s="201"/>
      <c r="ZQ10" s="201"/>
      <c r="ZR10" s="201"/>
      <c r="ZS10" s="201"/>
      <c r="ZT10" s="201"/>
      <c r="ZU10" s="201"/>
      <c r="ZV10" s="201"/>
      <c r="ZW10" s="201"/>
    </row>
    <row r="11" spans="1:699" s="214" customFormat="1" ht="15.75" customHeight="1" x14ac:dyDescent="0.2">
      <c r="A11" s="42"/>
      <c r="B11" s="215" t="s">
        <v>191</v>
      </c>
      <c r="C11" s="216">
        <v>2015</v>
      </c>
      <c r="D11" s="216">
        <v>2016</v>
      </c>
      <c r="E11" s="217">
        <v>2017</v>
      </c>
      <c r="F11" s="218"/>
      <c r="G11" s="61"/>
      <c r="H11" s="200"/>
      <c r="I11" s="200" t="s">
        <v>61</v>
      </c>
      <c r="J11" s="200" t="s">
        <v>192</v>
      </c>
      <c r="K11" s="200" t="s">
        <v>193</v>
      </c>
      <c r="L11" s="200" t="s">
        <v>194</v>
      </c>
      <c r="M11" s="200"/>
      <c r="N11" s="200" t="s">
        <v>195</v>
      </c>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1"/>
      <c r="CB11" s="201"/>
      <c r="CC11" s="201"/>
      <c r="CD11" s="201"/>
      <c r="CE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E11" s="201"/>
      <c r="DF11" s="201"/>
      <c r="DG11" s="201"/>
      <c r="DH11" s="201"/>
      <c r="DI11" s="201"/>
      <c r="DJ11" s="201"/>
      <c r="DK11" s="201"/>
      <c r="DL11" s="201"/>
      <c r="DM11" s="201"/>
      <c r="DN11" s="201"/>
      <c r="DO11" s="201"/>
      <c r="DP11" s="201"/>
      <c r="DQ11" s="201"/>
      <c r="DR11" s="201"/>
      <c r="DS11" s="201"/>
      <c r="DT11" s="201"/>
      <c r="DU11" s="201"/>
      <c r="DV11" s="201"/>
      <c r="DW11" s="201"/>
      <c r="DX11" s="201"/>
      <c r="DY11" s="201"/>
      <c r="DZ11" s="201"/>
      <c r="EA11" s="201"/>
      <c r="EB11" s="201"/>
      <c r="EC11" s="201"/>
      <c r="ED11" s="201"/>
      <c r="EE11" s="201"/>
      <c r="EF11" s="201"/>
      <c r="EG11" s="201"/>
      <c r="EH11" s="201"/>
      <c r="EI11" s="201"/>
      <c r="EJ11" s="201"/>
      <c r="EK11" s="201"/>
      <c r="EL11" s="201"/>
      <c r="EM11" s="201"/>
      <c r="EN11" s="201"/>
      <c r="EO11" s="201"/>
      <c r="EP11" s="201"/>
      <c r="EQ11" s="201"/>
      <c r="ER11" s="201"/>
      <c r="ES11" s="201"/>
      <c r="ET11" s="201"/>
      <c r="EU11" s="201"/>
      <c r="EV11" s="201"/>
      <c r="EW11" s="201"/>
      <c r="EX11" s="201"/>
      <c r="EY11" s="201"/>
      <c r="EZ11" s="201"/>
      <c r="FA11" s="201"/>
      <c r="FB11" s="201"/>
      <c r="FC11" s="201"/>
      <c r="FD11" s="201"/>
      <c r="FE11" s="201"/>
      <c r="FF11" s="201"/>
      <c r="FG11" s="201"/>
      <c r="FH11" s="201"/>
      <c r="FI11" s="201"/>
      <c r="FJ11" s="201"/>
      <c r="FK11" s="201"/>
      <c r="FL11" s="201"/>
      <c r="FM11" s="201"/>
      <c r="FN11" s="201"/>
      <c r="FO11" s="201"/>
      <c r="FP11" s="201"/>
      <c r="FQ11" s="201"/>
      <c r="FR11" s="201"/>
      <c r="FS11" s="201"/>
      <c r="FT11" s="201"/>
      <c r="FU11" s="201"/>
      <c r="FV11" s="201"/>
      <c r="FW11" s="201"/>
      <c r="FX11" s="201"/>
      <c r="FY11" s="201"/>
      <c r="FZ11" s="201"/>
      <c r="GA11" s="201"/>
      <c r="GB11" s="201"/>
      <c r="GC11" s="201"/>
      <c r="GD11" s="201"/>
      <c r="GE11" s="201"/>
      <c r="GF11" s="201"/>
      <c r="GG11" s="201"/>
      <c r="GH11" s="201"/>
      <c r="GI11" s="201"/>
      <c r="GJ11" s="201"/>
      <c r="GK11" s="201"/>
      <c r="GL11" s="201"/>
      <c r="GM11" s="201"/>
      <c r="GN11" s="201"/>
      <c r="GO11" s="201"/>
      <c r="GP11" s="201"/>
      <c r="GQ11" s="201"/>
      <c r="GR11" s="201"/>
      <c r="GS11" s="201"/>
      <c r="GT11" s="201"/>
      <c r="GU11" s="201"/>
      <c r="GV11" s="201"/>
      <c r="GW11" s="201"/>
      <c r="GX11" s="201"/>
      <c r="GY11" s="201"/>
      <c r="GZ11" s="201"/>
      <c r="HA11" s="201"/>
      <c r="HB11" s="201"/>
      <c r="HC11" s="201"/>
      <c r="HD11" s="201"/>
      <c r="HE11" s="201"/>
      <c r="HF11" s="201"/>
      <c r="HG11" s="201"/>
      <c r="HH11" s="201"/>
      <c r="HI11" s="201"/>
      <c r="HJ11" s="201"/>
      <c r="HK11" s="201"/>
      <c r="HL11" s="201"/>
      <c r="HM11" s="201"/>
      <c r="HN11" s="201"/>
      <c r="HO11" s="201"/>
      <c r="HP11" s="201"/>
      <c r="HQ11" s="201"/>
      <c r="HR11" s="201"/>
      <c r="HS11" s="201"/>
      <c r="HT11" s="201"/>
      <c r="HU11" s="201"/>
      <c r="HV11" s="201"/>
      <c r="HW11" s="201"/>
      <c r="HX11" s="201"/>
      <c r="HY11" s="201"/>
      <c r="HZ11" s="201"/>
      <c r="IA11" s="201"/>
      <c r="IB11" s="201"/>
      <c r="IC11" s="201"/>
      <c r="ID11" s="201"/>
      <c r="IE11" s="201"/>
      <c r="IF11" s="201"/>
      <c r="IG11" s="201"/>
      <c r="IH11" s="201"/>
      <c r="II11" s="201"/>
      <c r="IJ11" s="201"/>
      <c r="IK11" s="201"/>
      <c r="IL11" s="201"/>
      <c r="IM11" s="201"/>
      <c r="IN11" s="201"/>
      <c r="IO11" s="201"/>
      <c r="IP11" s="201"/>
      <c r="IQ11" s="201"/>
      <c r="IR11" s="201"/>
      <c r="IS11" s="201"/>
      <c r="IT11" s="201"/>
      <c r="IU11" s="201"/>
      <c r="IV11" s="201"/>
      <c r="IW11" s="201"/>
      <c r="IX11" s="201"/>
      <c r="IY11" s="201"/>
      <c r="IZ11" s="201"/>
      <c r="JA11" s="201"/>
      <c r="JB11" s="201"/>
      <c r="JC11" s="201"/>
      <c r="JD11" s="201"/>
      <c r="JE11" s="201"/>
      <c r="JF11" s="201"/>
      <c r="JG11" s="201"/>
      <c r="JH11" s="201"/>
      <c r="JI11" s="201"/>
      <c r="JJ11" s="201"/>
      <c r="JK11" s="201"/>
      <c r="JL11" s="201"/>
      <c r="JM11" s="201"/>
      <c r="JN11" s="201"/>
      <c r="JO11" s="201"/>
      <c r="JP11" s="201"/>
      <c r="JQ11" s="201"/>
      <c r="JR11" s="201"/>
      <c r="JS11" s="201"/>
      <c r="JT11" s="201"/>
      <c r="JU11" s="201"/>
      <c r="JV11" s="201"/>
      <c r="JW11" s="201"/>
      <c r="JX11" s="201"/>
      <c r="JY11" s="201"/>
      <c r="JZ11" s="201"/>
      <c r="KA11" s="201"/>
      <c r="KB11" s="201"/>
      <c r="KC11" s="201"/>
      <c r="KD11" s="201"/>
      <c r="KE11" s="201"/>
      <c r="KF11" s="201"/>
      <c r="KG11" s="201"/>
      <c r="KH11" s="201"/>
      <c r="KI11" s="201"/>
      <c r="KJ11" s="201"/>
      <c r="KK11" s="201"/>
      <c r="KL11" s="201"/>
      <c r="KM11" s="201"/>
      <c r="KN11" s="201"/>
      <c r="KO11" s="201"/>
      <c r="KP11" s="201"/>
      <c r="KQ11" s="201"/>
      <c r="KR11" s="201"/>
      <c r="KS11" s="201"/>
      <c r="KT11" s="201"/>
      <c r="KU11" s="201"/>
      <c r="KV11" s="201"/>
      <c r="KW11" s="201"/>
      <c r="KX11" s="201"/>
      <c r="KY11" s="201"/>
      <c r="KZ11" s="201"/>
      <c r="LA11" s="201"/>
      <c r="LB11" s="201"/>
      <c r="LC11" s="201"/>
      <c r="LD11" s="201"/>
      <c r="LE11" s="201"/>
      <c r="LF11" s="201"/>
      <c r="LG11" s="201"/>
      <c r="LH11" s="201"/>
      <c r="LI11" s="201"/>
      <c r="LJ11" s="201"/>
      <c r="LK11" s="201"/>
      <c r="LL11" s="201"/>
      <c r="LM11" s="201"/>
      <c r="LN11" s="201"/>
      <c r="LO11" s="201"/>
      <c r="LP11" s="201"/>
      <c r="LQ11" s="201"/>
      <c r="LR11" s="201"/>
      <c r="LS11" s="201"/>
      <c r="LT11" s="201"/>
      <c r="LU11" s="201"/>
      <c r="LV11" s="201"/>
      <c r="LW11" s="201"/>
      <c r="LX11" s="201"/>
      <c r="LY11" s="201"/>
      <c r="LZ11" s="201"/>
      <c r="MA11" s="201"/>
      <c r="MB11" s="201"/>
      <c r="MC11" s="201"/>
      <c r="MD11" s="201"/>
      <c r="ME11" s="201"/>
      <c r="MF11" s="201"/>
      <c r="MG11" s="201"/>
      <c r="MH11" s="201"/>
      <c r="MI11" s="201"/>
      <c r="MJ11" s="201"/>
      <c r="MK11" s="201"/>
      <c r="ML11" s="201"/>
      <c r="MM11" s="201"/>
      <c r="MN11" s="201"/>
      <c r="MO11" s="201"/>
      <c r="MP11" s="201"/>
      <c r="MQ11" s="201"/>
      <c r="MR11" s="201"/>
      <c r="MS11" s="201"/>
      <c r="MT11" s="201"/>
      <c r="MU11" s="201"/>
      <c r="MV11" s="201"/>
      <c r="MW11" s="201"/>
      <c r="MX11" s="201"/>
      <c r="MY11" s="201"/>
      <c r="MZ11" s="201"/>
      <c r="NA11" s="201"/>
      <c r="NB11" s="201"/>
      <c r="NC11" s="201"/>
      <c r="ND11" s="201"/>
      <c r="NE11" s="201"/>
      <c r="NF11" s="201"/>
      <c r="NG11" s="201"/>
      <c r="NH11" s="201"/>
      <c r="NI11" s="201"/>
      <c r="NJ11" s="201"/>
      <c r="NK11" s="201"/>
      <c r="NL11" s="201"/>
      <c r="NM11" s="201"/>
      <c r="NN11" s="201"/>
      <c r="NO11" s="201"/>
      <c r="NP11" s="201"/>
      <c r="NQ11" s="201"/>
      <c r="NR11" s="201"/>
      <c r="NS11" s="201"/>
      <c r="NT11" s="201"/>
      <c r="NU11" s="201"/>
      <c r="NV11" s="201"/>
      <c r="NW11" s="201"/>
      <c r="NX11" s="201"/>
      <c r="NY11" s="201"/>
      <c r="NZ11" s="201"/>
      <c r="OA11" s="201"/>
      <c r="OB11" s="201"/>
      <c r="OC11" s="201"/>
      <c r="OD11" s="201"/>
      <c r="OE11" s="201"/>
      <c r="OF11" s="201"/>
      <c r="OG11" s="201"/>
      <c r="OH11" s="201"/>
      <c r="OI11" s="201"/>
      <c r="OJ11" s="201"/>
      <c r="OK11" s="201"/>
      <c r="OL11" s="201"/>
      <c r="OM11" s="201"/>
      <c r="ON11" s="201"/>
      <c r="OO11" s="201"/>
      <c r="OP11" s="201"/>
      <c r="OQ11" s="201"/>
      <c r="OR11" s="201"/>
      <c r="OS11" s="201"/>
      <c r="OT11" s="201"/>
      <c r="OU11" s="201"/>
      <c r="OV11" s="201"/>
      <c r="OW11" s="201"/>
      <c r="OX11" s="201"/>
      <c r="OY11" s="201"/>
      <c r="OZ11" s="201"/>
      <c r="PA11" s="201"/>
      <c r="PB11" s="201"/>
      <c r="PC11" s="201"/>
      <c r="PD11" s="201"/>
      <c r="PE11" s="201"/>
      <c r="PF11" s="201"/>
      <c r="PG11" s="201"/>
      <c r="PH11" s="201"/>
      <c r="PI11" s="201"/>
      <c r="PJ11" s="201"/>
      <c r="PK11" s="201"/>
      <c r="PL11" s="201"/>
      <c r="PM11" s="201"/>
      <c r="PN11" s="201"/>
      <c r="PO11" s="201"/>
      <c r="PP11" s="201"/>
      <c r="PQ11" s="201"/>
      <c r="PR11" s="201"/>
      <c r="PS11" s="201"/>
      <c r="PT11" s="201"/>
      <c r="PU11" s="201"/>
      <c r="PV11" s="201"/>
      <c r="PW11" s="201"/>
      <c r="PX11" s="201"/>
      <c r="PY11" s="201"/>
      <c r="PZ11" s="201"/>
      <c r="QA11" s="201"/>
      <c r="QB11" s="201"/>
      <c r="QC11" s="201"/>
      <c r="QD11" s="201"/>
      <c r="QE11" s="201"/>
      <c r="QF11" s="201"/>
      <c r="QG11" s="201"/>
      <c r="QH11" s="201"/>
      <c r="QI11" s="201"/>
      <c r="QJ11" s="201"/>
      <c r="QK11" s="201"/>
      <c r="QL11" s="201"/>
      <c r="QM11" s="201"/>
      <c r="QN11" s="201"/>
      <c r="QO11" s="201"/>
      <c r="QP11" s="201"/>
      <c r="QQ11" s="201"/>
      <c r="QR11" s="201"/>
      <c r="QS11" s="201"/>
      <c r="QT11" s="201"/>
      <c r="QU11" s="201"/>
      <c r="QV11" s="201"/>
      <c r="QW11" s="201"/>
      <c r="QX11" s="201"/>
      <c r="QY11" s="201"/>
      <c r="QZ11" s="201"/>
      <c r="RA11" s="201"/>
      <c r="RB11" s="201"/>
      <c r="RC11" s="201"/>
      <c r="RD11" s="201"/>
      <c r="RE11" s="201"/>
      <c r="RF11" s="201"/>
      <c r="RG11" s="201"/>
      <c r="RH11" s="201"/>
      <c r="RI11" s="201"/>
      <c r="RJ11" s="201"/>
      <c r="RK11" s="201"/>
      <c r="RL11" s="201"/>
      <c r="RM11" s="201"/>
      <c r="RN11" s="201"/>
      <c r="RO11" s="201"/>
      <c r="RP11" s="201"/>
      <c r="RQ11" s="201"/>
      <c r="RR11" s="201"/>
      <c r="RS11" s="201"/>
      <c r="RT11" s="201"/>
      <c r="RU11" s="201"/>
      <c r="RV11" s="201"/>
      <c r="RW11" s="201"/>
      <c r="RX11" s="201"/>
      <c r="RY11" s="201"/>
      <c r="RZ11" s="201"/>
      <c r="SA11" s="201"/>
      <c r="SB11" s="201"/>
      <c r="SC11" s="201"/>
      <c r="SD11" s="201"/>
      <c r="SE11" s="201"/>
      <c r="SF11" s="201"/>
      <c r="SG11" s="201"/>
      <c r="SH11" s="201"/>
      <c r="SI11" s="201"/>
      <c r="SJ11" s="201"/>
      <c r="SK11" s="201"/>
      <c r="SL11" s="201"/>
      <c r="SM11" s="201"/>
      <c r="SN11" s="201"/>
      <c r="SO11" s="201"/>
      <c r="SP11" s="201"/>
      <c r="SQ11" s="201"/>
      <c r="SR11" s="201"/>
      <c r="SS11" s="201"/>
      <c r="ST11" s="201"/>
      <c r="SU11" s="201"/>
      <c r="SV11" s="201"/>
      <c r="SW11" s="201"/>
      <c r="SX11" s="201"/>
      <c r="SY11" s="201"/>
      <c r="SZ11" s="201"/>
      <c r="TA11" s="201"/>
      <c r="TB11" s="201"/>
      <c r="TC11" s="201"/>
      <c r="TD11" s="201"/>
      <c r="TE11" s="201"/>
      <c r="TF11" s="201"/>
      <c r="TG11" s="201"/>
      <c r="TH11" s="201"/>
      <c r="TI11" s="201"/>
      <c r="TJ11" s="201"/>
      <c r="TK11" s="201"/>
      <c r="TL11" s="201"/>
      <c r="TM11" s="201"/>
      <c r="TN11" s="201"/>
      <c r="TO11" s="201"/>
      <c r="TP11" s="201"/>
      <c r="TQ11" s="201"/>
      <c r="TR11" s="201"/>
      <c r="TS11" s="201"/>
      <c r="TT11" s="201"/>
      <c r="TU11" s="201"/>
      <c r="TV11" s="201"/>
      <c r="TW11" s="201"/>
      <c r="TX11" s="201"/>
      <c r="TY11" s="201"/>
      <c r="TZ11" s="201"/>
      <c r="UA11" s="201"/>
      <c r="UB11" s="201"/>
      <c r="UC11" s="201"/>
      <c r="UD11" s="201"/>
      <c r="UE11" s="201"/>
      <c r="UF11" s="201"/>
      <c r="UG11" s="201"/>
      <c r="UH11" s="201"/>
      <c r="UI11" s="201"/>
      <c r="UJ11" s="201"/>
      <c r="UK11" s="201"/>
      <c r="UL11" s="201"/>
      <c r="UM11" s="201"/>
      <c r="UN11" s="201"/>
      <c r="UO11" s="201"/>
      <c r="UP11" s="201"/>
      <c r="UQ11" s="201"/>
      <c r="UR11" s="201"/>
      <c r="US11" s="201"/>
      <c r="UT11" s="201"/>
      <c r="UU11" s="201"/>
      <c r="UV11" s="201"/>
      <c r="UW11" s="201"/>
      <c r="UX11" s="201"/>
      <c r="UY11" s="201"/>
      <c r="UZ11" s="201"/>
      <c r="VA11" s="201"/>
      <c r="VB11" s="201"/>
      <c r="VC11" s="201"/>
      <c r="VD11" s="201"/>
      <c r="VE11" s="201"/>
      <c r="VF11" s="201"/>
      <c r="VG11" s="201"/>
      <c r="VH11" s="201"/>
      <c r="VI11" s="201"/>
      <c r="VJ11" s="201"/>
      <c r="VK11" s="201"/>
      <c r="VL11" s="201"/>
      <c r="VM11" s="201"/>
      <c r="VN11" s="201"/>
      <c r="VO11" s="201"/>
      <c r="VP11" s="201"/>
      <c r="VQ11" s="201"/>
      <c r="VR11" s="201"/>
      <c r="VS11" s="201"/>
      <c r="VT11" s="201"/>
      <c r="VU11" s="201"/>
      <c r="VV11" s="201"/>
      <c r="VW11" s="201"/>
      <c r="VX11" s="201"/>
      <c r="VY11" s="201"/>
      <c r="VZ11" s="201"/>
      <c r="WA11" s="201"/>
      <c r="WB11" s="201"/>
      <c r="WC11" s="201"/>
      <c r="WD11" s="201"/>
      <c r="WE11" s="201"/>
      <c r="WF11" s="201"/>
      <c r="WG11" s="201"/>
      <c r="WH11" s="201"/>
      <c r="WI11" s="201"/>
      <c r="WJ11" s="201"/>
      <c r="WK11" s="201"/>
      <c r="WL11" s="201"/>
      <c r="WM11" s="201"/>
      <c r="WN11" s="201"/>
      <c r="WO11" s="201"/>
      <c r="WP11" s="201"/>
      <c r="WQ11" s="201"/>
      <c r="WR11" s="201"/>
      <c r="WS11" s="201"/>
      <c r="WT11" s="201"/>
      <c r="WU11" s="201"/>
      <c r="WV11" s="201"/>
      <c r="WW11" s="201"/>
      <c r="WX11" s="201"/>
      <c r="WY11" s="201"/>
      <c r="WZ11" s="201"/>
      <c r="XA11" s="201"/>
      <c r="XB11" s="201"/>
      <c r="XC11" s="201"/>
      <c r="XD11" s="201"/>
      <c r="XE11" s="201"/>
      <c r="XF11" s="201"/>
      <c r="XG11" s="201"/>
      <c r="XH11" s="201"/>
      <c r="XI11" s="201"/>
      <c r="XJ11" s="201"/>
      <c r="XK11" s="201"/>
      <c r="XL11" s="201"/>
      <c r="XM11" s="201"/>
      <c r="XN11" s="201"/>
      <c r="XO11" s="201"/>
      <c r="XP11" s="201"/>
      <c r="XQ11" s="201"/>
      <c r="XR11" s="201"/>
      <c r="XS11" s="201"/>
      <c r="XT11" s="201"/>
      <c r="XU11" s="201"/>
      <c r="XV11" s="201"/>
      <c r="XW11" s="201"/>
      <c r="XX11" s="201"/>
      <c r="XY11" s="201"/>
      <c r="XZ11" s="201"/>
      <c r="YA11" s="201"/>
      <c r="YB11" s="201"/>
      <c r="YC11" s="201"/>
      <c r="YD11" s="201"/>
      <c r="YE11" s="201"/>
      <c r="YF11" s="201"/>
      <c r="YG11" s="201"/>
      <c r="YH11" s="201"/>
      <c r="YI11" s="201"/>
      <c r="YJ11" s="201"/>
      <c r="YK11" s="201"/>
      <c r="YL11" s="201"/>
      <c r="YM11" s="201"/>
      <c r="YN11" s="201"/>
      <c r="YO11" s="201"/>
      <c r="YP11" s="201"/>
      <c r="YQ11" s="201"/>
      <c r="YR11" s="201"/>
      <c r="YS11" s="201"/>
      <c r="YT11" s="201"/>
      <c r="YU11" s="201"/>
      <c r="YV11" s="201"/>
      <c r="YW11" s="201"/>
      <c r="YX11" s="201"/>
      <c r="YY11" s="201"/>
      <c r="YZ11" s="201"/>
      <c r="ZA11" s="201"/>
      <c r="ZB11" s="201"/>
      <c r="ZC11" s="201"/>
      <c r="ZD11" s="201"/>
      <c r="ZE11" s="201"/>
      <c r="ZF11" s="201"/>
      <c r="ZG11" s="201"/>
      <c r="ZH11" s="201"/>
      <c r="ZI11" s="201"/>
      <c r="ZJ11" s="201"/>
      <c r="ZK11" s="201"/>
      <c r="ZL11" s="201"/>
      <c r="ZM11" s="201"/>
      <c r="ZN11" s="201"/>
      <c r="ZO11" s="201"/>
      <c r="ZP11" s="201"/>
      <c r="ZQ11" s="201"/>
      <c r="ZR11" s="201"/>
      <c r="ZS11" s="201"/>
      <c r="ZT11" s="201"/>
      <c r="ZU11" s="201"/>
      <c r="ZV11" s="201"/>
      <c r="ZW11" s="201"/>
    </row>
    <row r="12" spans="1:699" s="214" customFormat="1" ht="15.75" customHeight="1" thickBot="1" x14ac:dyDescent="0.25">
      <c r="A12" s="42"/>
      <c r="B12" s="219" t="s">
        <v>196</v>
      </c>
      <c r="C12" s="220">
        <v>2500000</v>
      </c>
      <c r="D12" s="220">
        <v>3100000</v>
      </c>
      <c r="E12" s="221">
        <v>2100000</v>
      </c>
      <c r="F12" s="218"/>
      <c r="G12" s="61"/>
      <c r="H12" s="200"/>
      <c r="I12" s="200">
        <v>2015</v>
      </c>
      <c r="J12" s="222">
        <f>E16</f>
        <v>1724999.9999999998</v>
      </c>
      <c r="K12" s="223">
        <f>C12</f>
        <v>2500000</v>
      </c>
      <c r="L12" s="200">
        <f>1/L9</f>
        <v>1</v>
      </c>
      <c r="M12" s="200"/>
      <c r="N12" s="224">
        <f>J12+K12*$B$24*(1-L12)</f>
        <v>1724999.9999999998</v>
      </c>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E12" s="201"/>
      <c r="DF12" s="201"/>
      <c r="DG12" s="201"/>
      <c r="DH12" s="201"/>
      <c r="DI12" s="201"/>
      <c r="DJ12" s="201"/>
      <c r="DK12" s="201"/>
      <c r="DL12" s="201"/>
      <c r="DM12" s="201"/>
      <c r="DN12" s="201"/>
      <c r="DO12" s="201"/>
      <c r="DP12" s="201"/>
      <c r="DQ12" s="201"/>
      <c r="DR12" s="201"/>
      <c r="DS12" s="201"/>
      <c r="DT12" s="201"/>
      <c r="DU12" s="201"/>
      <c r="DV12" s="201"/>
      <c r="DW12" s="201"/>
      <c r="DX12" s="201"/>
      <c r="DY12" s="201"/>
      <c r="DZ12" s="201"/>
      <c r="EA12" s="201"/>
      <c r="EB12" s="201"/>
      <c r="EC12" s="201"/>
      <c r="ED12" s="201"/>
      <c r="EE12" s="201"/>
      <c r="EF12" s="201"/>
      <c r="EG12" s="201"/>
      <c r="EH12" s="201"/>
      <c r="EI12" s="201"/>
      <c r="EJ12" s="201"/>
      <c r="EK12" s="201"/>
      <c r="EL12" s="201"/>
      <c r="EM12" s="201"/>
      <c r="EN12" s="201"/>
      <c r="EO12" s="201"/>
      <c r="EP12" s="201"/>
      <c r="EQ12" s="201"/>
      <c r="ER12" s="201"/>
      <c r="ES12" s="201"/>
      <c r="ET12" s="201"/>
      <c r="EU12" s="201"/>
      <c r="EV12" s="201"/>
      <c r="EW12" s="201"/>
      <c r="EX12" s="201"/>
      <c r="EY12" s="201"/>
      <c r="EZ12" s="201"/>
      <c r="FA12" s="201"/>
      <c r="FB12" s="201"/>
      <c r="FC12" s="201"/>
      <c r="FD12" s="201"/>
      <c r="FE12" s="201"/>
      <c r="FF12" s="201"/>
      <c r="FG12" s="201"/>
      <c r="FH12" s="201"/>
      <c r="FI12" s="201"/>
      <c r="FJ12" s="201"/>
      <c r="FK12" s="201"/>
      <c r="FL12" s="201"/>
      <c r="FM12" s="201"/>
      <c r="FN12" s="201"/>
      <c r="FO12" s="201"/>
      <c r="FP12" s="201"/>
      <c r="FQ12" s="201"/>
      <c r="FR12" s="201"/>
      <c r="FS12" s="201"/>
      <c r="FT12" s="201"/>
      <c r="FU12" s="201"/>
      <c r="FV12" s="201"/>
      <c r="FW12" s="201"/>
      <c r="FX12" s="201"/>
      <c r="FY12" s="201"/>
      <c r="FZ12" s="201"/>
      <c r="GA12" s="201"/>
      <c r="GB12" s="201"/>
      <c r="GC12" s="201"/>
      <c r="GD12" s="201"/>
      <c r="GE12" s="201"/>
      <c r="GF12" s="201"/>
      <c r="GG12" s="201"/>
      <c r="GH12" s="201"/>
      <c r="GI12" s="201"/>
      <c r="GJ12" s="201"/>
      <c r="GK12" s="201"/>
      <c r="GL12" s="201"/>
      <c r="GM12" s="201"/>
      <c r="GN12" s="201"/>
      <c r="GO12" s="201"/>
      <c r="GP12" s="201"/>
      <c r="GQ12" s="201"/>
      <c r="GR12" s="201"/>
      <c r="GS12" s="201"/>
      <c r="GT12" s="201"/>
      <c r="GU12" s="201"/>
      <c r="GV12" s="201"/>
      <c r="GW12" s="201"/>
      <c r="GX12" s="201"/>
      <c r="GY12" s="201"/>
      <c r="GZ12" s="201"/>
      <c r="HA12" s="201"/>
      <c r="HB12" s="201"/>
      <c r="HC12" s="201"/>
      <c r="HD12" s="201"/>
      <c r="HE12" s="201"/>
      <c r="HF12" s="201"/>
      <c r="HG12" s="201"/>
      <c r="HH12" s="201"/>
      <c r="HI12" s="201"/>
      <c r="HJ12" s="201"/>
      <c r="HK12" s="201"/>
      <c r="HL12" s="201"/>
      <c r="HM12" s="201"/>
      <c r="HN12" s="201"/>
      <c r="HO12" s="201"/>
      <c r="HP12" s="201"/>
      <c r="HQ12" s="201"/>
      <c r="HR12" s="201"/>
      <c r="HS12" s="201"/>
      <c r="HT12" s="201"/>
      <c r="HU12" s="201"/>
      <c r="HV12" s="201"/>
      <c r="HW12" s="201"/>
      <c r="HX12" s="201"/>
      <c r="HY12" s="201"/>
      <c r="HZ12" s="201"/>
      <c r="IA12" s="201"/>
      <c r="IB12" s="201"/>
      <c r="IC12" s="201"/>
      <c r="ID12" s="201"/>
      <c r="IE12" s="201"/>
      <c r="IF12" s="201"/>
      <c r="IG12" s="201"/>
      <c r="IH12" s="201"/>
      <c r="II12" s="201"/>
      <c r="IJ12" s="201"/>
      <c r="IK12" s="201"/>
      <c r="IL12" s="201"/>
      <c r="IM12" s="201"/>
      <c r="IN12" s="201"/>
      <c r="IO12" s="201"/>
      <c r="IP12" s="201"/>
      <c r="IQ12" s="201"/>
      <c r="IR12" s="201"/>
      <c r="IS12" s="201"/>
      <c r="IT12" s="201"/>
      <c r="IU12" s="201"/>
      <c r="IV12" s="201"/>
      <c r="IW12" s="201"/>
      <c r="IX12" s="201"/>
      <c r="IY12" s="201"/>
      <c r="IZ12" s="201"/>
      <c r="JA12" s="201"/>
      <c r="JB12" s="201"/>
      <c r="JC12" s="201"/>
      <c r="JD12" s="201"/>
      <c r="JE12" s="201"/>
      <c r="JF12" s="201"/>
      <c r="JG12" s="201"/>
      <c r="JH12" s="201"/>
      <c r="JI12" s="201"/>
      <c r="JJ12" s="201"/>
      <c r="JK12" s="201"/>
      <c r="JL12" s="201"/>
      <c r="JM12" s="201"/>
      <c r="JN12" s="201"/>
      <c r="JO12" s="201"/>
      <c r="JP12" s="201"/>
      <c r="JQ12" s="201"/>
      <c r="JR12" s="201"/>
      <c r="JS12" s="201"/>
      <c r="JT12" s="201"/>
      <c r="JU12" s="201"/>
      <c r="JV12" s="201"/>
      <c r="JW12" s="201"/>
      <c r="JX12" s="201"/>
      <c r="JY12" s="201"/>
      <c r="JZ12" s="201"/>
      <c r="KA12" s="201"/>
      <c r="KB12" s="201"/>
      <c r="KC12" s="201"/>
      <c r="KD12" s="201"/>
      <c r="KE12" s="201"/>
      <c r="KF12" s="201"/>
      <c r="KG12" s="201"/>
      <c r="KH12" s="201"/>
      <c r="KI12" s="201"/>
      <c r="KJ12" s="201"/>
      <c r="KK12" s="201"/>
      <c r="KL12" s="201"/>
      <c r="KM12" s="201"/>
      <c r="KN12" s="201"/>
      <c r="KO12" s="201"/>
      <c r="KP12" s="201"/>
      <c r="KQ12" s="201"/>
      <c r="KR12" s="201"/>
      <c r="KS12" s="201"/>
      <c r="KT12" s="201"/>
      <c r="KU12" s="201"/>
      <c r="KV12" s="201"/>
      <c r="KW12" s="201"/>
      <c r="KX12" s="201"/>
      <c r="KY12" s="201"/>
      <c r="KZ12" s="201"/>
      <c r="LA12" s="201"/>
      <c r="LB12" s="201"/>
      <c r="LC12" s="201"/>
      <c r="LD12" s="201"/>
      <c r="LE12" s="201"/>
      <c r="LF12" s="201"/>
      <c r="LG12" s="201"/>
      <c r="LH12" s="201"/>
      <c r="LI12" s="201"/>
      <c r="LJ12" s="201"/>
      <c r="LK12" s="201"/>
      <c r="LL12" s="201"/>
      <c r="LM12" s="201"/>
      <c r="LN12" s="201"/>
      <c r="LO12" s="201"/>
      <c r="LP12" s="201"/>
      <c r="LQ12" s="201"/>
      <c r="LR12" s="201"/>
      <c r="LS12" s="201"/>
      <c r="LT12" s="201"/>
      <c r="LU12" s="201"/>
      <c r="LV12" s="201"/>
      <c r="LW12" s="201"/>
      <c r="LX12" s="201"/>
      <c r="LY12" s="201"/>
      <c r="LZ12" s="201"/>
      <c r="MA12" s="201"/>
      <c r="MB12" s="201"/>
      <c r="MC12" s="201"/>
      <c r="MD12" s="201"/>
      <c r="ME12" s="201"/>
      <c r="MF12" s="201"/>
      <c r="MG12" s="201"/>
      <c r="MH12" s="201"/>
      <c r="MI12" s="201"/>
      <c r="MJ12" s="201"/>
      <c r="MK12" s="201"/>
      <c r="ML12" s="201"/>
      <c r="MM12" s="201"/>
      <c r="MN12" s="201"/>
      <c r="MO12" s="201"/>
      <c r="MP12" s="201"/>
      <c r="MQ12" s="201"/>
      <c r="MR12" s="201"/>
      <c r="MS12" s="201"/>
      <c r="MT12" s="201"/>
      <c r="MU12" s="201"/>
      <c r="MV12" s="201"/>
      <c r="MW12" s="201"/>
      <c r="MX12" s="201"/>
      <c r="MY12" s="201"/>
      <c r="MZ12" s="201"/>
      <c r="NA12" s="201"/>
      <c r="NB12" s="201"/>
      <c r="NC12" s="201"/>
      <c r="ND12" s="201"/>
      <c r="NE12" s="201"/>
      <c r="NF12" s="201"/>
      <c r="NG12" s="201"/>
      <c r="NH12" s="201"/>
      <c r="NI12" s="201"/>
      <c r="NJ12" s="201"/>
      <c r="NK12" s="201"/>
      <c r="NL12" s="201"/>
      <c r="NM12" s="201"/>
      <c r="NN12" s="201"/>
      <c r="NO12" s="201"/>
      <c r="NP12" s="201"/>
      <c r="NQ12" s="201"/>
      <c r="NR12" s="201"/>
      <c r="NS12" s="201"/>
      <c r="NT12" s="201"/>
      <c r="NU12" s="201"/>
      <c r="NV12" s="201"/>
      <c r="NW12" s="201"/>
      <c r="NX12" s="201"/>
      <c r="NY12" s="201"/>
      <c r="NZ12" s="201"/>
      <c r="OA12" s="201"/>
      <c r="OB12" s="201"/>
      <c r="OC12" s="201"/>
      <c r="OD12" s="201"/>
      <c r="OE12" s="201"/>
      <c r="OF12" s="201"/>
      <c r="OG12" s="201"/>
      <c r="OH12" s="201"/>
      <c r="OI12" s="201"/>
      <c r="OJ12" s="201"/>
      <c r="OK12" s="201"/>
      <c r="OL12" s="201"/>
      <c r="OM12" s="201"/>
      <c r="ON12" s="201"/>
      <c r="OO12" s="201"/>
      <c r="OP12" s="201"/>
      <c r="OQ12" s="201"/>
      <c r="OR12" s="201"/>
      <c r="OS12" s="201"/>
      <c r="OT12" s="201"/>
      <c r="OU12" s="201"/>
      <c r="OV12" s="201"/>
      <c r="OW12" s="201"/>
      <c r="OX12" s="201"/>
      <c r="OY12" s="201"/>
      <c r="OZ12" s="201"/>
      <c r="PA12" s="201"/>
      <c r="PB12" s="201"/>
      <c r="PC12" s="201"/>
      <c r="PD12" s="201"/>
      <c r="PE12" s="201"/>
      <c r="PF12" s="201"/>
      <c r="PG12" s="201"/>
      <c r="PH12" s="201"/>
      <c r="PI12" s="201"/>
      <c r="PJ12" s="201"/>
      <c r="PK12" s="201"/>
      <c r="PL12" s="201"/>
      <c r="PM12" s="201"/>
      <c r="PN12" s="201"/>
      <c r="PO12" s="201"/>
      <c r="PP12" s="201"/>
      <c r="PQ12" s="201"/>
      <c r="PR12" s="201"/>
      <c r="PS12" s="201"/>
      <c r="PT12" s="201"/>
      <c r="PU12" s="201"/>
      <c r="PV12" s="201"/>
      <c r="PW12" s="201"/>
      <c r="PX12" s="201"/>
      <c r="PY12" s="201"/>
      <c r="PZ12" s="201"/>
      <c r="QA12" s="201"/>
      <c r="QB12" s="201"/>
      <c r="QC12" s="201"/>
      <c r="QD12" s="201"/>
      <c r="QE12" s="201"/>
      <c r="QF12" s="201"/>
      <c r="QG12" s="201"/>
      <c r="QH12" s="201"/>
      <c r="QI12" s="201"/>
      <c r="QJ12" s="201"/>
      <c r="QK12" s="201"/>
      <c r="QL12" s="201"/>
      <c r="QM12" s="201"/>
      <c r="QN12" s="201"/>
      <c r="QO12" s="201"/>
      <c r="QP12" s="201"/>
      <c r="QQ12" s="201"/>
      <c r="QR12" s="201"/>
      <c r="QS12" s="201"/>
      <c r="QT12" s="201"/>
      <c r="QU12" s="201"/>
      <c r="QV12" s="201"/>
      <c r="QW12" s="201"/>
      <c r="QX12" s="201"/>
      <c r="QY12" s="201"/>
      <c r="QZ12" s="201"/>
      <c r="RA12" s="201"/>
      <c r="RB12" s="201"/>
      <c r="RC12" s="201"/>
      <c r="RD12" s="201"/>
      <c r="RE12" s="201"/>
      <c r="RF12" s="201"/>
      <c r="RG12" s="201"/>
      <c r="RH12" s="201"/>
      <c r="RI12" s="201"/>
      <c r="RJ12" s="201"/>
      <c r="RK12" s="201"/>
      <c r="RL12" s="201"/>
      <c r="RM12" s="201"/>
      <c r="RN12" s="201"/>
      <c r="RO12" s="201"/>
      <c r="RP12" s="201"/>
      <c r="RQ12" s="201"/>
      <c r="RR12" s="201"/>
      <c r="RS12" s="201"/>
      <c r="RT12" s="201"/>
      <c r="RU12" s="201"/>
      <c r="RV12" s="201"/>
      <c r="RW12" s="201"/>
      <c r="RX12" s="201"/>
      <c r="RY12" s="201"/>
      <c r="RZ12" s="201"/>
      <c r="SA12" s="201"/>
      <c r="SB12" s="201"/>
      <c r="SC12" s="201"/>
      <c r="SD12" s="201"/>
      <c r="SE12" s="201"/>
      <c r="SF12" s="201"/>
      <c r="SG12" s="201"/>
      <c r="SH12" s="201"/>
      <c r="SI12" s="201"/>
      <c r="SJ12" s="201"/>
      <c r="SK12" s="201"/>
      <c r="SL12" s="201"/>
      <c r="SM12" s="201"/>
      <c r="SN12" s="201"/>
      <c r="SO12" s="201"/>
      <c r="SP12" s="201"/>
      <c r="SQ12" s="201"/>
      <c r="SR12" s="201"/>
      <c r="SS12" s="201"/>
      <c r="ST12" s="201"/>
      <c r="SU12" s="201"/>
      <c r="SV12" s="201"/>
      <c r="SW12" s="201"/>
      <c r="SX12" s="201"/>
      <c r="SY12" s="201"/>
      <c r="SZ12" s="201"/>
      <c r="TA12" s="201"/>
      <c r="TB12" s="201"/>
      <c r="TC12" s="201"/>
      <c r="TD12" s="201"/>
      <c r="TE12" s="201"/>
      <c r="TF12" s="201"/>
      <c r="TG12" s="201"/>
      <c r="TH12" s="201"/>
      <c r="TI12" s="201"/>
      <c r="TJ12" s="201"/>
      <c r="TK12" s="201"/>
      <c r="TL12" s="201"/>
      <c r="TM12" s="201"/>
      <c r="TN12" s="201"/>
      <c r="TO12" s="201"/>
      <c r="TP12" s="201"/>
      <c r="TQ12" s="201"/>
      <c r="TR12" s="201"/>
      <c r="TS12" s="201"/>
      <c r="TT12" s="201"/>
      <c r="TU12" s="201"/>
      <c r="TV12" s="201"/>
      <c r="TW12" s="201"/>
      <c r="TX12" s="201"/>
      <c r="TY12" s="201"/>
      <c r="TZ12" s="201"/>
      <c r="UA12" s="201"/>
      <c r="UB12" s="201"/>
      <c r="UC12" s="201"/>
      <c r="UD12" s="201"/>
      <c r="UE12" s="201"/>
      <c r="UF12" s="201"/>
      <c r="UG12" s="201"/>
      <c r="UH12" s="201"/>
      <c r="UI12" s="201"/>
      <c r="UJ12" s="201"/>
      <c r="UK12" s="201"/>
      <c r="UL12" s="201"/>
      <c r="UM12" s="201"/>
      <c r="UN12" s="201"/>
      <c r="UO12" s="201"/>
      <c r="UP12" s="201"/>
      <c r="UQ12" s="201"/>
      <c r="UR12" s="201"/>
      <c r="US12" s="201"/>
      <c r="UT12" s="201"/>
      <c r="UU12" s="201"/>
      <c r="UV12" s="201"/>
      <c r="UW12" s="201"/>
      <c r="UX12" s="201"/>
      <c r="UY12" s="201"/>
      <c r="UZ12" s="201"/>
      <c r="VA12" s="201"/>
      <c r="VB12" s="201"/>
      <c r="VC12" s="201"/>
      <c r="VD12" s="201"/>
      <c r="VE12" s="201"/>
      <c r="VF12" s="201"/>
      <c r="VG12" s="201"/>
      <c r="VH12" s="201"/>
      <c r="VI12" s="201"/>
      <c r="VJ12" s="201"/>
      <c r="VK12" s="201"/>
      <c r="VL12" s="201"/>
      <c r="VM12" s="201"/>
      <c r="VN12" s="201"/>
      <c r="VO12" s="201"/>
      <c r="VP12" s="201"/>
      <c r="VQ12" s="201"/>
      <c r="VR12" s="201"/>
      <c r="VS12" s="201"/>
      <c r="VT12" s="201"/>
      <c r="VU12" s="201"/>
      <c r="VV12" s="201"/>
      <c r="VW12" s="201"/>
      <c r="VX12" s="201"/>
      <c r="VY12" s="201"/>
      <c r="VZ12" s="201"/>
      <c r="WA12" s="201"/>
      <c r="WB12" s="201"/>
      <c r="WC12" s="201"/>
      <c r="WD12" s="201"/>
      <c r="WE12" s="201"/>
      <c r="WF12" s="201"/>
      <c r="WG12" s="201"/>
      <c r="WH12" s="201"/>
      <c r="WI12" s="201"/>
      <c r="WJ12" s="201"/>
      <c r="WK12" s="201"/>
      <c r="WL12" s="201"/>
      <c r="WM12" s="201"/>
      <c r="WN12" s="201"/>
      <c r="WO12" s="201"/>
      <c r="WP12" s="201"/>
      <c r="WQ12" s="201"/>
      <c r="WR12" s="201"/>
      <c r="WS12" s="201"/>
      <c r="WT12" s="201"/>
      <c r="WU12" s="201"/>
      <c r="WV12" s="201"/>
      <c r="WW12" s="201"/>
      <c r="WX12" s="201"/>
      <c r="WY12" s="201"/>
      <c r="WZ12" s="201"/>
      <c r="XA12" s="201"/>
      <c r="XB12" s="201"/>
      <c r="XC12" s="201"/>
      <c r="XD12" s="201"/>
      <c r="XE12" s="201"/>
      <c r="XF12" s="201"/>
      <c r="XG12" s="201"/>
      <c r="XH12" s="201"/>
      <c r="XI12" s="201"/>
      <c r="XJ12" s="201"/>
      <c r="XK12" s="201"/>
      <c r="XL12" s="201"/>
      <c r="XM12" s="201"/>
      <c r="XN12" s="201"/>
      <c r="XO12" s="201"/>
      <c r="XP12" s="201"/>
      <c r="XQ12" s="201"/>
      <c r="XR12" s="201"/>
      <c r="XS12" s="201"/>
      <c r="XT12" s="201"/>
      <c r="XU12" s="201"/>
      <c r="XV12" s="201"/>
      <c r="XW12" s="201"/>
      <c r="XX12" s="201"/>
      <c r="XY12" s="201"/>
      <c r="XZ12" s="201"/>
      <c r="YA12" s="201"/>
      <c r="YB12" s="201"/>
      <c r="YC12" s="201"/>
      <c r="YD12" s="201"/>
      <c r="YE12" s="201"/>
      <c r="YF12" s="201"/>
      <c r="YG12" s="201"/>
      <c r="YH12" s="201"/>
      <c r="YI12" s="201"/>
      <c r="YJ12" s="201"/>
      <c r="YK12" s="201"/>
      <c r="YL12" s="201"/>
      <c r="YM12" s="201"/>
      <c r="YN12" s="201"/>
      <c r="YO12" s="201"/>
      <c r="YP12" s="201"/>
      <c r="YQ12" s="201"/>
      <c r="YR12" s="201"/>
      <c r="YS12" s="201"/>
      <c r="YT12" s="201"/>
      <c r="YU12" s="201"/>
      <c r="YV12" s="201"/>
      <c r="YW12" s="201"/>
      <c r="YX12" s="201"/>
      <c r="YY12" s="201"/>
      <c r="YZ12" s="201"/>
      <c r="ZA12" s="201"/>
      <c r="ZB12" s="201"/>
      <c r="ZC12" s="201"/>
      <c r="ZD12" s="201"/>
      <c r="ZE12" s="201"/>
      <c r="ZF12" s="201"/>
      <c r="ZG12" s="201"/>
      <c r="ZH12" s="201"/>
      <c r="ZI12" s="201"/>
      <c r="ZJ12" s="201"/>
      <c r="ZK12" s="201"/>
      <c r="ZL12" s="201"/>
      <c r="ZM12" s="201"/>
      <c r="ZN12" s="201"/>
      <c r="ZO12" s="201"/>
      <c r="ZP12" s="201"/>
      <c r="ZQ12" s="201"/>
      <c r="ZR12" s="201"/>
      <c r="ZS12" s="201"/>
      <c r="ZT12" s="201"/>
      <c r="ZU12" s="201"/>
      <c r="ZV12" s="201"/>
      <c r="ZW12" s="201"/>
    </row>
    <row r="13" spans="1:699" ht="15.75" customHeight="1" thickBot="1" x14ac:dyDescent="0.25">
      <c r="A13" s="42"/>
      <c r="B13" s="213"/>
      <c r="C13" s="209"/>
      <c r="D13" s="209"/>
      <c r="E13" s="209"/>
      <c r="F13" s="210"/>
      <c r="G13" s="61"/>
      <c r="H13" s="200"/>
      <c r="I13" s="200">
        <v>2016</v>
      </c>
      <c r="J13" s="222">
        <f>D17</f>
        <v>1650000</v>
      </c>
      <c r="K13" s="223">
        <f>D12</f>
        <v>3100000</v>
      </c>
      <c r="L13" s="200">
        <f>1/K9</f>
        <v>0.86956521739130443</v>
      </c>
      <c r="M13" s="200"/>
      <c r="N13" s="225">
        <f t="shared" ref="N13:N14" si="3">J13+K13*$B$24*(1-L13)</f>
        <v>1912826.0869565215</v>
      </c>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row>
    <row r="14" spans="1:699" ht="15.75" customHeight="1" x14ac:dyDescent="0.2">
      <c r="A14" s="42"/>
      <c r="B14" s="226" t="s">
        <v>197</v>
      </c>
      <c r="C14" s="227"/>
      <c r="D14" s="227"/>
      <c r="E14" s="228"/>
      <c r="F14" s="210"/>
      <c r="G14" s="61"/>
      <c r="H14" s="200"/>
      <c r="I14" s="200">
        <v>2017</v>
      </c>
      <c r="J14" s="222">
        <f>C18</f>
        <v>900000</v>
      </c>
      <c r="K14" s="223">
        <f>E12</f>
        <v>2100000</v>
      </c>
      <c r="L14" s="200">
        <f>1/J9</f>
        <v>0.57971014492753625</v>
      </c>
      <c r="M14" s="200"/>
      <c r="N14" s="229">
        <f t="shared" si="3"/>
        <v>1473695.6521739131</v>
      </c>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row>
    <row r="15" spans="1:699" ht="15.75" customHeight="1" thickBot="1" x14ac:dyDescent="0.25">
      <c r="A15" s="42"/>
      <c r="B15" s="230" t="s">
        <v>182</v>
      </c>
      <c r="C15" s="231">
        <v>12</v>
      </c>
      <c r="D15" s="231">
        <v>24</v>
      </c>
      <c r="E15" s="232">
        <v>36</v>
      </c>
      <c r="F15" s="210"/>
      <c r="G15" s="61"/>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214"/>
      <c r="CV15" s="214"/>
      <c r="CW15" s="214"/>
      <c r="CX15" s="214"/>
      <c r="CY15" s="214"/>
      <c r="CZ15" s="214"/>
      <c r="DA15" s="214"/>
      <c r="DB15" s="214"/>
      <c r="DC15" s="214"/>
      <c r="DD15" s="214"/>
      <c r="DE15" s="214"/>
      <c r="DF15" s="214"/>
      <c r="DG15" s="214"/>
      <c r="DH15" s="214"/>
      <c r="DI15" s="214"/>
      <c r="DJ15" s="214"/>
      <c r="DK15" s="214"/>
      <c r="DL15" s="214"/>
      <c r="DM15" s="214"/>
      <c r="DN15" s="214"/>
      <c r="DO15" s="214"/>
      <c r="DP15" s="214"/>
      <c r="DQ15" s="214"/>
      <c r="DR15" s="214"/>
      <c r="DS15" s="214"/>
      <c r="DT15" s="214"/>
      <c r="DU15" s="214"/>
      <c r="DV15" s="214"/>
      <c r="DW15" s="214"/>
      <c r="DX15" s="214"/>
      <c r="DY15" s="214"/>
      <c r="DZ15" s="214"/>
      <c r="EA15" s="214"/>
      <c r="EB15" s="214"/>
      <c r="EC15" s="214"/>
      <c r="ED15" s="214"/>
      <c r="EE15" s="214"/>
      <c r="EF15" s="214"/>
      <c r="EG15" s="214"/>
      <c r="EH15" s="214"/>
      <c r="EI15" s="214"/>
      <c r="EJ15" s="214"/>
      <c r="EK15" s="214"/>
      <c r="EL15" s="214"/>
      <c r="EM15" s="214"/>
      <c r="EN15" s="214"/>
      <c r="EO15" s="214"/>
      <c r="EP15" s="214"/>
      <c r="EQ15" s="214"/>
      <c r="ER15" s="214"/>
      <c r="ES15" s="214"/>
      <c r="ET15" s="214"/>
      <c r="EU15" s="214"/>
      <c r="EV15" s="214"/>
      <c r="EW15" s="214"/>
      <c r="EX15" s="214"/>
      <c r="EY15" s="214"/>
      <c r="EZ15" s="214"/>
      <c r="FA15" s="214"/>
      <c r="FB15" s="214"/>
      <c r="FC15" s="214"/>
      <c r="FD15" s="214"/>
      <c r="FE15" s="214"/>
      <c r="FF15" s="214"/>
      <c r="FG15" s="214"/>
      <c r="FH15" s="214"/>
      <c r="FI15" s="214"/>
      <c r="FJ15" s="214"/>
      <c r="FK15" s="214"/>
      <c r="FL15" s="214"/>
      <c r="FM15" s="214"/>
      <c r="FN15" s="214"/>
      <c r="FO15" s="214"/>
      <c r="FP15" s="214"/>
      <c r="FQ15" s="214"/>
      <c r="FR15" s="214"/>
      <c r="FS15" s="214"/>
      <c r="FT15" s="214"/>
      <c r="FU15" s="214"/>
      <c r="FV15" s="214"/>
      <c r="FW15" s="214"/>
      <c r="FX15" s="214"/>
      <c r="FY15" s="214"/>
      <c r="FZ15" s="214"/>
      <c r="GA15" s="214"/>
      <c r="GB15" s="214"/>
      <c r="GC15" s="214"/>
      <c r="GD15" s="214"/>
      <c r="GE15" s="214"/>
      <c r="GF15" s="214"/>
      <c r="GG15" s="214"/>
      <c r="GH15" s="214"/>
      <c r="GI15" s="214"/>
      <c r="GJ15" s="214"/>
      <c r="GK15" s="214"/>
      <c r="GL15" s="214"/>
      <c r="GM15" s="214"/>
      <c r="GN15" s="214"/>
      <c r="GO15" s="214"/>
      <c r="GP15" s="214"/>
      <c r="GQ15" s="214"/>
      <c r="GR15" s="214"/>
      <c r="GS15" s="214"/>
      <c r="GT15" s="214"/>
      <c r="GU15" s="214"/>
      <c r="GV15" s="214"/>
      <c r="GW15" s="214"/>
      <c r="GX15" s="214"/>
      <c r="GY15" s="214"/>
      <c r="GZ15" s="214"/>
      <c r="HA15" s="214"/>
      <c r="HB15" s="214"/>
      <c r="HC15" s="214"/>
      <c r="HD15" s="214"/>
      <c r="HE15" s="214"/>
      <c r="HF15" s="214"/>
      <c r="HG15" s="214"/>
      <c r="HH15" s="214"/>
      <c r="HI15" s="214"/>
      <c r="HJ15" s="214"/>
      <c r="HK15" s="214"/>
      <c r="HL15" s="214"/>
      <c r="HM15" s="214"/>
      <c r="HN15" s="214"/>
      <c r="HO15" s="214"/>
      <c r="HP15" s="214"/>
      <c r="HQ15" s="214"/>
      <c r="HR15" s="214"/>
      <c r="HS15" s="214"/>
      <c r="HT15" s="214"/>
      <c r="HU15" s="214"/>
      <c r="HV15" s="214"/>
      <c r="HW15" s="214"/>
      <c r="HX15" s="214"/>
      <c r="HY15" s="214"/>
      <c r="HZ15" s="214"/>
      <c r="IA15" s="214"/>
      <c r="IB15" s="214"/>
      <c r="IC15" s="214"/>
      <c r="ID15" s="214"/>
      <c r="IE15" s="214"/>
      <c r="IF15" s="214"/>
      <c r="IG15" s="214"/>
      <c r="IH15" s="214"/>
      <c r="II15" s="214"/>
      <c r="IJ15" s="214"/>
      <c r="IK15" s="214"/>
      <c r="IL15" s="214"/>
      <c r="IM15" s="214"/>
      <c r="IN15" s="214"/>
      <c r="IO15" s="214"/>
      <c r="IP15" s="214"/>
      <c r="IQ15" s="214"/>
      <c r="IR15" s="214"/>
      <c r="IS15" s="214"/>
      <c r="IT15" s="214"/>
      <c r="IU15" s="214"/>
      <c r="IV15" s="214"/>
      <c r="IW15" s="214"/>
      <c r="IX15" s="214"/>
      <c r="IY15" s="214"/>
      <c r="IZ15" s="214"/>
      <c r="JA15" s="214"/>
      <c r="JB15" s="214"/>
      <c r="JC15" s="214"/>
      <c r="JD15" s="214"/>
      <c r="JE15" s="214"/>
      <c r="JF15" s="214"/>
      <c r="JG15" s="214"/>
      <c r="JH15" s="214"/>
      <c r="JI15" s="214"/>
      <c r="JJ15" s="214"/>
      <c r="JK15" s="214"/>
      <c r="JL15" s="214"/>
      <c r="JM15" s="214"/>
      <c r="JN15" s="214"/>
      <c r="JO15" s="214"/>
      <c r="JP15" s="214"/>
      <c r="JQ15" s="214"/>
      <c r="JR15" s="214"/>
      <c r="JS15" s="214"/>
      <c r="JT15" s="214"/>
      <c r="JU15" s="214"/>
      <c r="JV15" s="214"/>
      <c r="JW15" s="214"/>
      <c r="JX15" s="214"/>
      <c r="JY15" s="214"/>
      <c r="JZ15" s="214"/>
      <c r="KA15" s="214"/>
      <c r="KB15" s="214"/>
      <c r="KC15" s="214"/>
      <c r="KD15" s="214"/>
      <c r="KE15" s="214"/>
      <c r="KF15" s="214"/>
      <c r="KG15" s="214"/>
      <c r="KH15" s="214"/>
      <c r="KI15" s="214"/>
      <c r="KJ15" s="214"/>
      <c r="KK15" s="214"/>
      <c r="KL15" s="214"/>
      <c r="KM15" s="214"/>
      <c r="KN15" s="214"/>
      <c r="KO15" s="214"/>
      <c r="KP15" s="214"/>
      <c r="KQ15" s="214"/>
      <c r="KR15" s="214"/>
      <c r="KS15" s="214"/>
      <c r="KT15" s="214"/>
      <c r="KU15" s="214"/>
      <c r="KV15" s="214"/>
      <c r="KW15" s="214"/>
      <c r="KX15" s="214"/>
      <c r="KY15" s="214"/>
      <c r="KZ15" s="214"/>
      <c r="LA15" s="214"/>
      <c r="LB15" s="214"/>
      <c r="LC15" s="214"/>
      <c r="LD15" s="214"/>
      <c r="LE15" s="214"/>
      <c r="LF15" s="214"/>
      <c r="LG15" s="214"/>
      <c r="LH15" s="214"/>
      <c r="LI15" s="214"/>
      <c r="LJ15" s="214"/>
      <c r="LK15" s="214"/>
      <c r="LL15" s="214"/>
      <c r="LM15" s="214"/>
      <c r="LN15" s="214"/>
      <c r="LO15" s="214"/>
      <c r="LP15" s="214"/>
      <c r="LQ15" s="214"/>
      <c r="LR15" s="214"/>
      <c r="LS15" s="214"/>
      <c r="LT15" s="214"/>
      <c r="LU15" s="214"/>
      <c r="LV15" s="214"/>
      <c r="LW15" s="214"/>
      <c r="LX15" s="214"/>
      <c r="LY15" s="214"/>
      <c r="LZ15" s="214"/>
      <c r="MA15" s="214"/>
      <c r="MB15" s="214"/>
      <c r="MC15" s="214"/>
      <c r="MD15" s="214"/>
      <c r="ME15" s="214"/>
      <c r="MF15" s="214"/>
      <c r="MG15" s="214"/>
      <c r="MH15" s="214"/>
      <c r="MI15" s="214"/>
      <c r="MJ15" s="214"/>
      <c r="MK15" s="214"/>
      <c r="ML15" s="214"/>
      <c r="MM15" s="214"/>
      <c r="MN15" s="214"/>
      <c r="MO15" s="214"/>
      <c r="MP15" s="214"/>
      <c r="MQ15" s="214"/>
      <c r="MR15" s="214"/>
      <c r="MS15" s="214"/>
      <c r="MT15" s="214"/>
      <c r="MU15" s="214"/>
      <c r="MV15" s="214"/>
      <c r="MW15" s="214"/>
      <c r="MX15" s="214"/>
      <c r="MY15" s="214"/>
      <c r="MZ15" s="214"/>
      <c r="NA15" s="214"/>
      <c r="NB15" s="214"/>
      <c r="NC15" s="214"/>
      <c r="ND15" s="214"/>
      <c r="NE15" s="214"/>
      <c r="NF15" s="214"/>
      <c r="NG15" s="214"/>
      <c r="NH15" s="214"/>
      <c r="NI15" s="214"/>
      <c r="NJ15" s="214"/>
      <c r="NK15" s="214"/>
      <c r="NL15" s="214"/>
      <c r="NM15" s="214"/>
      <c r="NN15" s="214"/>
      <c r="NO15" s="214"/>
      <c r="NP15" s="214"/>
      <c r="NQ15" s="214"/>
      <c r="NR15" s="214"/>
      <c r="NS15" s="214"/>
      <c r="NT15" s="214"/>
      <c r="NU15" s="214"/>
      <c r="NV15" s="214"/>
      <c r="NW15" s="214"/>
      <c r="NX15" s="214"/>
      <c r="NY15" s="214"/>
      <c r="NZ15" s="214"/>
      <c r="OA15" s="214"/>
      <c r="OB15" s="214"/>
      <c r="OC15" s="214"/>
      <c r="OD15" s="214"/>
      <c r="OE15" s="214"/>
      <c r="OF15" s="214"/>
      <c r="OG15" s="214"/>
      <c r="OH15" s="214"/>
      <c r="OI15" s="214"/>
      <c r="OJ15" s="214"/>
      <c r="OK15" s="214"/>
      <c r="OL15" s="214"/>
      <c r="OM15" s="214"/>
      <c r="ON15" s="214"/>
      <c r="OO15" s="214"/>
      <c r="OP15" s="214"/>
      <c r="OQ15" s="214"/>
      <c r="OR15" s="214"/>
      <c r="OS15" s="214"/>
      <c r="OT15" s="214"/>
      <c r="OU15" s="214"/>
      <c r="OV15" s="214"/>
      <c r="OW15" s="214"/>
      <c r="OX15" s="214"/>
      <c r="OY15" s="214"/>
      <c r="OZ15" s="214"/>
      <c r="PA15" s="214"/>
      <c r="PB15" s="214"/>
      <c r="PC15" s="214"/>
      <c r="PD15" s="214"/>
      <c r="PE15" s="214"/>
      <c r="PF15" s="214"/>
      <c r="PG15" s="214"/>
      <c r="PH15" s="214"/>
      <c r="PI15" s="214"/>
      <c r="PJ15" s="214"/>
      <c r="PK15" s="214"/>
      <c r="PL15" s="214"/>
      <c r="PM15" s="214"/>
      <c r="PN15" s="214"/>
      <c r="PO15" s="214"/>
      <c r="PP15" s="214"/>
      <c r="PQ15" s="214"/>
      <c r="PR15" s="214"/>
      <c r="PS15" s="214"/>
      <c r="PT15" s="214"/>
      <c r="PU15" s="214"/>
      <c r="PV15" s="214"/>
      <c r="PW15" s="214"/>
      <c r="PX15" s="214"/>
      <c r="PY15" s="214"/>
      <c r="PZ15" s="214"/>
      <c r="QA15" s="214"/>
      <c r="QB15" s="214"/>
      <c r="QC15" s="214"/>
      <c r="QD15" s="214"/>
      <c r="QE15" s="214"/>
      <c r="QF15" s="214"/>
      <c r="QG15" s="214"/>
      <c r="QH15" s="214"/>
      <c r="QI15" s="214"/>
      <c r="QJ15" s="214"/>
      <c r="QK15" s="214"/>
      <c r="QL15" s="214"/>
      <c r="QM15" s="214"/>
      <c r="QN15" s="214"/>
      <c r="QO15" s="214"/>
      <c r="QP15" s="214"/>
      <c r="QQ15" s="214"/>
      <c r="QR15" s="214"/>
      <c r="QS15" s="214"/>
      <c r="QT15" s="214"/>
      <c r="QU15" s="214"/>
      <c r="QV15" s="214"/>
      <c r="QW15" s="214"/>
      <c r="QX15" s="214"/>
      <c r="QY15" s="214"/>
      <c r="QZ15" s="214"/>
      <c r="RA15" s="214"/>
      <c r="RB15" s="214"/>
      <c r="RC15" s="214"/>
      <c r="RD15" s="214"/>
      <c r="RE15" s="214"/>
      <c r="RF15" s="214"/>
      <c r="RG15" s="214"/>
      <c r="RH15" s="214"/>
      <c r="RI15" s="214"/>
      <c r="RJ15" s="214"/>
      <c r="RK15" s="214"/>
      <c r="RL15" s="214"/>
      <c r="RM15" s="214"/>
      <c r="RN15" s="214"/>
      <c r="RO15" s="214"/>
      <c r="RP15" s="214"/>
      <c r="RQ15" s="214"/>
      <c r="RR15" s="214"/>
      <c r="RS15" s="214"/>
      <c r="RT15" s="214"/>
      <c r="RU15" s="214"/>
      <c r="RV15" s="214"/>
      <c r="RW15" s="214"/>
      <c r="RX15" s="214"/>
      <c r="RY15" s="214"/>
      <c r="RZ15" s="214"/>
      <c r="SA15" s="214"/>
      <c r="SB15" s="214"/>
      <c r="SC15" s="214"/>
      <c r="SD15" s="214"/>
      <c r="SE15" s="214"/>
      <c r="SF15" s="214"/>
      <c r="SG15" s="214"/>
      <c r="SH15" s="214"/>
      <c r="SI15" s="214"/>
      <c r="SJ15" s="214"/>
      <c r="SK15" s="214"/>
      <c r="SL15" s="214"/>
      <c r="SM15" s="214"/>
      <c r="SN15" s="214"/>
      <c r="SO15" s="214"/>
      <c r="SP15" s="214"/>
      <c r="SQ15" s="214"/>
      <c r="SR15" s="214"/>
      <c r="SS15" s="214"/>
      <c r="ST15" s="214"/>
      <c r="SU15" s="214"/>
      <c r="SV15" s="214"/>
      <c r="SW15" s="214"/>
      <c r="SX15" s="214"/>
      <c r="SY15" s="214"/>
      <c r="SZ15" s="214"/>
      <c r="TA15" s="214"/>
      <c r="TB15" s="214"/>
      <c r="TC15" s="214"/>
      <c r="TD15" s="214"/>
      <c r="TE15" s="214"/>
      <c r="TF15" s="214"/>
      <c r="TG15" s="214"/>
      <c r="TH15" s="214"/>
      <c r="TI15" s="214"/>
      <c r="TJ15" s="214"/>
      <c r="TK15" s="214"/>
      <c r="TL15" s="214"/>
      <c r="TM15" s="214"/>
      <c r="TN15" s="214"/>
      <c r="TO15" s="214"/>
      <c r="TP15" s="214"/>
      <c r="TQ15" s="214"/>
      <c r="TR15" s="214"/>
      <c r="TS15" s="214"/>
      <c r="TT15" s="214"/>
      <c r="TU15" s="214"/>
      <c r="TV15" s="214"/>
      <c r="TW15" s="214"/>
      <c r="TX15" s="214"/>
      <c r="TY15" s="214"/>
      <c r="TZ15" s="214"/>
      <c r="UA15" s="214"/>
      <c r="UB15" s="214"/>
      <c r="UC15" s="214"/>
      <c r="UD15" s="214"/>
      <c r="UE15" s="214"/>
      <c r="UF15" s="214"/>
      <c r="UG15" s="214"/>
      <c r="UH15" s="214"/>
      <c r="UI15" s="214"/>
      <c r="UJ15" s="214"/>
      <c r="UK15" s="214"/>
      <c r="UL15" s="214"/>
      <c r="UM15" s="214"/>
      <c r="UN15" s="214"/>
      <c r="UO15" s="214"/>
      <c r="UP15" s="214"/>
      <c r="UQ15" s="214"/>
      <c r="UR15" s="214"/>
      <c r="US15" s="214"/>
      <c r="UT15" s="214"/>
      <c r="UU15" s="214"/>
      <c r="UV15" s="214"/>
      <c r="UW15" s="214"/>
      <c r="UX15" s="214"/>
      <c r="UY15" s="214"/>
      <c r="UZ15" s="214"/>
      <c r="VA15" s="214"/>
      <c r="VB15" s="214"/>
      <c r="VC15" s="214"/>
      <c r="VD15" s="214"/>
      <c r="VE15" s="214"/>
      <c r="VF15" s="214"/>
      <c r="VG15" s="214"/>
      <c r="VH15" s="214"/>
      <c r="VI15" s="214"/>
      <c r="VJ15" s="214"/>
      <c r="VK15" s="214"/>
      <c r="VL15" s="214"/>
      <c r="VM15" s="214"/>
      <c r="VN15" s="214"/>
      <c r="VO15" s="214"/>
      <c r="VP15" s="214"/>
      <c r="VQ15" s="214"/>
      <c r="VR15" s="214"/>
      <c r="VS15" s="214"/>
      <c r="VT15" s="214"/>
      <c r="VU15" s="214"/>
      <c r="VV15" s="214"/>
      <c r="VW15" s="214"/>
      <c r="VX15" s="214"/>
      <c r="VY15" s="214"/>
      <c r="VZ15" s="214"/>
      <c r="WA15" s="214"/>
      <c r="WB15" s="214"/>
      <c r="WC15" s="214"/>
      <c r="WD15" s="214"/>
      <c r="WE15" s="214"/>
      <c r="WF15" s="214"/>
      <c r="WG15" s="214"/>
      <c r="WH15" s="214"/>
      <c r="WI15" s="214"/>
      <c r="WJ15" s="214"/>
      <c r="WK15" s="214"/>
      <c r="WL15" s="214"/>
      <c r="WM15" s="214"/>
      <c r="WN15" s="214"/>
      <c r="WO15" s="214"/>
      <c r="WP15" s="214"/>
      <c r="WQ15" s="214"/>
      <c r="WR15" s="214"/>
      <c r="WS15" s="214"/>
      <c r="WT15" s="214"/>
      <c r="WU15" s="214"/>
      <c r="WV15" s="214"/>
      <c r="WW15" s="214"/>
      <c r="WX15" s="214"/>
      <c r="WY15" s="214"/>
      <c r="WZ15" s="214"/>
      <c r="XA15" s="214"/>
      <c r="XB15" s="214"/>
      <c r="XC15" s="214"/>
      <c r="XD15" s="214"/>
      <c r="XE15" s="214"/>
      <c r="XF15" s="214"/>
      <c r="XG15" s="214"/>
      <c r="XH15" s="214"/>
      <c r="XI15" s="214"/>
      <c r="XJ15" s="214"/>
      <c r="XK15" s="214"/>
      <c r="XL15" s="214"/>
      <c r="XM15" s="214"/>
      <c r="XN15" s="214"/>
      <c r="XO15" s="214"/>
      <c r="XP15" s="214"/>
      <c r="XQ15" s="214"/>
      <c r="XR15" s="214"/>
      <c r="XS15" s="214"/>
      <c r="XT15" s="214"/>
      <c r="XU15" s="214"/>
      <c r="XV15" s="214"/>
      <c r="XW15" s="214"/>
      <c r="XX15" s="214"/>
      <c r="XY15" s="214"/>
      <c r="XZ15" s="214"/>
      <c r="YA15" s="214"/>
      <c r="YB15" s="214"/>
      <c r="YC15" s="214"/>
      <c r="YD15" s="214"/>
      <c r="YE15" s="214"/>
      <c r="YF15" s="214"/>
      <c r="YG15" s="214"/>
      <c r="YH15" s="214"/>
      <c r="YI15" s="214"/>
      <c r="YJ15" s="214"/>
      <c r="YK15" s="214"/>
      <c r="YL15" s="214"/>
      <c r="YM15" s="214"/>
      <c r="YN15" s="214"/>
      <c r="YO15" s="214"/>
      <c r="YP15" s="214"/>
      <c r="YQ15" s="214"/>
      <c r="YR15" s="214"/>
      <c r="YS15" s="214"/>
      <c r="YT15" s="214"/>
      <c r="YU15" s="214"/>
      <c r="YV15" s="214"/>
      <c r="YW15" s="214"/>
      <c r="YX15" s="214"/>
      <c r="YY15" s="214"/>
      <c r="YZ15" s="214"/>
      <c r="ZA15" s="214"/>
      <c r="ZB15" s="214"/>
      <c r="ZC15" s="214"/>
      <c r="ZD15" s="214"/>
      <c r="ZE15" s="214"/>
      <c r="ZF15" s="214"/>
      <c r="ZG15" s="214"/>
      <c r="ZH15" s="214"/>
      <c r="ZI15" s="214"/>
      <c r="ZJ15" s="214"/>
      <c r="ZK15" s="214"/>
      <c r="ZL15" s="214"/>
      <c r="ZM15" s="214"/>
      <c r="ZN15" s="214"/>
      <c r="ZO15" s="214"/>
      <c r="ZP15" s="214"/>
      <c r="ZQ15" s="214"/>
      <c r="ZR15" s="214"/>
      <c r="ZS15" s="214"/>
      <c r="ZT15" s="214"/>
      <c r="ZU15" s="214"/>
      <c r="ZV15" s="214"/>
      <c r="ZW15" s="214"/>
    </row>
    <row r="16" spans="1:699" ht="15.75" customHeight="1" x14ac:dyDescent="0.2">
      <c r="A16" s="42"/>
      <c r="B16" s="234">
        <v>2015</v>
      </c>
      <c r="C16" s="235">
        <v>1000000</v>
      </c>
      <c r="D16" s="235">
        <v>1500000</v>
      </c>
      <c r="E16" s="236">
        <v>1724999.9999999998</v>
      </c>
      <c r="F16" s="210"/>
      <c r="G16" s="61"/>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214"/>
      <c r="CV16" s="214"/>
      <c r="CW16" s="214"/>
      <c r="CX16" s="214"/>
      <c r="CY16" s="214"/>
      <c r="CZ16" s="214"/>
      <c r="DA16" s="214"/>
      <c r="DB16" s="214"/>
      <c r="DC16" s="214"/>
      <c r="DD16" s="214"/>
      <c r="DE16" s="214"/>
      <c r="DF16" s="214"/>
      <c r="DG16" s="214"/>
      <c r="DH16" s="214"/>
      <c r="DI16" s="214"/>
      <c r="DJ16" s="214"/>
      <c r="DK16" s="214"/>
      <c r="DL16" s="214"/>
      <c r="DM16" s="214"/>
      <c r="DN16" s="214"/>
      <c r="DO16" s="214"/>
      <c r="DP16" s="214"/>
      <c r="DQ16" s="214"/>
      <c r="DR16" s="214"/>
      <c r="DS16" s="214"/>
      <c r="DT16" s="214"/>
      <c r="DU16" s="214"/>
      <c r="DV16" s="214"/>
      <c r="DW16" s="214"/>
      <c r="DX16" s="214"/>
      <c r="DY16" s="214"/>
      <c r="DZ16" s="214"/>
      <c r="EA16" s="214"/>
      <c r="EB16" s="214"/>
      <c r="EC16" s="214"/>
      <c r="ED16" s="214"/>
      <c r="EE16" s="214"/>
      <c r="EF16" s="214"/>
      <c r="EG16" s="214"/>
      <c r="EH16" s="214"/>
      <c r="EI16" s="214"/>
      <c r="EJ16" s="214"/>
      <c r="EK16" s="214"/>
      <c r="EL16" s="214"/>
      <c r="EM16" s="214"/>
      <c r="EN16" s="214"/>
      <c r="EO16" s="214"/>
      <c r="EP16" s="214"/>
      <c r="EQ16" s="214"/>
      <c r="ER16" s="214"/>
      <c r="ES16" s="214"/>
      <c r="ET16" s="214"/>
      <c r="EU16" s="214"/>
      <c r="EV16" s="214"/>
      <c r="EW16" s="214"/>
      <c r="EX16" s="214"/>
      <c r="EY16" s="214"/>
      <c r="EZ16" s="214"/>
      <c r="FA16" s="214"/>
      <c r="FB16" s="214"/>
      <c r="FC16" s="214"/>
      <c r="FD16" s="214"/>
      <c r="FE16" s="214"/>
      <c r="FF16" s="214"/>
      <c r="FG16" s="214"/>
      <c r="FH16" s="214"/>
      <c r="FI16" s="214"/>
      <c r="FJ16" s="214"/>
      <c r="FK16" s="214"/>
      <c r="FL16" s="214"/>
      <c r="FM16" s="214"/>
      <c r="FN16" s="214"/>
      <c r="FO16" s="214"/>
      <c r="FP16" s="214"/>
      <c r="FQ16" s="214"/>
      <c r="FR16" s="214"/>
      <c r="FS16" s="214"/>
      <c r="FT16" s="214"/>
      <c r="FU16" s="214"/>
      <c r="FV16" s="214"/>
      <c r="FW16" s="214"/>
      <c r="FX16" s="214"/>
      <c r="FY16" s="214"/>
      <c r="FZ16" s="214"/>
      <c r="GA16" s="214"/>
      <c r="GB16" s="214"/>
      <c r="GC16" s="214"/>
      <c r="GD16" s="214"/>
      <c r="GE16" s="214"/>
      <c r="GF16" s="214"/>
      <c r="GG16" s="214"/>
      <c r="GH16" s="214"/>
      <c r="GI16" s="214"/>
      <c r="GJ16" s="214"/>
      <c r="GK16" s="214"/>
      <c r="GL16" s="214"/>
      <c r="GM16" s="214"/>
      <c r="GN16" s="214"/>
      <c r="GO16" s="214"/>
      <c r="GP16" s="214"/>
      <c r="GQ16" s="214"/>
      <c r="GR16" s="214"/>
      <c r="GS16" s="214"/>
      <c r="GT16" s="214"/>
      <c r="GU16" s="214"/>
      <c r="GV16" s="214"/>
      <c r="GW16" s="214"/>
      <c r="GX16" s="214"/>
      <c r="GY16" s="214"/>
      <c r="GZ16" s="214"/>
      <c r="HA16" s="214"/>
      <c r="HB16" s="214"/>
      <c r="HC16" s="214"/>
      <c r="HD16" s="214"/>
      <c r="HE16" s="214"/>
      <c r="HF16" s="214"/>
      <c r="HG16" s="214"/>
      <c r="HH16" s="214"/>
      <c r="HI16" s="214"/>
      <c r="HJ16" s="214"/>
      <c r="HK16" s="214"/>
      <c r="HL16" s="214"/>
      <c r="HM16" s="214"/>
      <c r="HN16" s="214"/>
      <c r="HO16" s="214"/>
      <c r="HP16" s="214"/>
      <c r="HQ16" s="214"/>
      <c r="HR16" s="214"/>
      <c r="HS16" s="214"/>
      <c r="HT16" s="214"/>
      <c r="HU16" s="214"/>
      <c r="HV16" s="214"/>
      <c r="HW16" s="214"/>
      <c r="HX16" s="214"/>
      <c r="HY16" s="214"/>
      <c r="HZ16" s="214"/>
      <c r="IA16" s="214"/>
      <c r="IB16" s="214"/>
      <c r="IC16" s="214"/>
      <c r="ID16" s="214"/>
      <c r="IE16" s="214"/>
      <c r="IF16" s="214"/>
      <c r="IG16" s="214"/>
      <c r="IH16" s="214"/>
      <c r="II16" s="214"/>
      <c r="IJ16" s="214"/>
      <c r="IK16" s="214"/>
      <c r="IL16" s="214"/>
      <c r="IM16" s="214"/>
      <c r="IN16" s="214"/>
      <c r="IO16" s="214"/>
      <c r="IP16" s="214"/>
      <c r="IQ16" s="214"/>
      <c r="IR16" s="214"/>
      <c r="IS16" s="214"/>
      <c r="IT16" s="214"/>
      <c r="IU16" s="214"/>
      <c r="IV16" s="214"/>
      <c r="IW16" s="214"/>
      <c r="IX16" s="214"/>
      <c r="IY16" s="214"/>
      <c r="IZ16" s="214"/>
      <c r="JA16" s="214"/>
      <c r="JB16" s="214"/>
      <c r="JC16" s="214"/>
      <c r="JD16" s="214"/>
      <c r="JE16" s="214"/>
      <c r="JF16" s="214"/>
      <c r="JG16" s="214"/>
      <c r="JH16" s="214"/>
      <c r="JI16" s="214"/>
      <c r="JJ16" s="214"/>
      <c r="JK16" s="214"/>
      <c r="JL16" s="214"/>
      <c r="JM16" s="214"/>
      <c r="JN16" s="214"/>
      <c r="JO16" s="214"/>
      <c r="JP16" s="214"/>
      <c r="JQ16" s="214"/>
      <c r="JR16" s="214"/>
      <c r="JS16" s="214"/>
      <c r="JT16" s="214"/>
      <c r="JU16" s="214"/>
      <c r="JV16" s="214"/>
      <c r="JW16" s="214"/>
      <c r="JX16" s="214"/>
      <c r="JY16" s="214"/>
      <c r="JZ16" s="214"/>
      <c r="KA16" s="214"/>
      <c r="KB16" s="214"/>
      <c r="KC16" s="214"/>
      <c r="KD16" s="214"/>
      <c r="KE16" s="214"/>
      <c r="KF16" s="214"/>
      <c r="KG16" s="214"/>
      <c r="KH16" s="214"/>
      <c r="KI16" s="214"/>
      <c r="KJ16" s="214"/>
      <c r="KK16" s="214"/>
      <c r="KL16" s="214"/>
      <c r="KM16" s="214"/>
      <c r="KN16" s="214"/>
      <c r="KO16" s="214"/>
      <c r="KP16" s="214"/>
      <c r="KQ16" s="214"/>
      <c r="KR16" s="214"/>
      <c r="KS16" s="214"/>
      <c r="KT16" s="214"/>
      <c r="KU16" s="214"/>
      <c r="KV16" s="214"/>
      <c r="KW16" s="214"/>
      <c r="KX16" s="214"/>
      <c r="KY16" s="214"/>
      <c r="KZ16" s="214"/>
      <c r="LA16" s="214"/>
      <c r="LB16" s="214"/>
      <c r="LC16" s="214"/>
      <c r="LD16" s="214"/>
      <c r="LE16" s="214"/>
      <c r="LF16" s="214"/>
      <c r="LG16" s="214"/>
      <c r="LH16" s="214"/>
      <c r="LI16" s="214"/>
      <c r="LJ16" s="214"/>
      <c r="LK16" s="214"/>
      <c r="LL16" s="214"/>
      <c r="LM16" s="214"/>
      <c r="LN16" s="214"/>
      <c r="LO16" s="214"/>
      <c r="LP16" s="214"/>
      <c r="LQ16" s="214"/>
      <c r="LR16" s="214"/>
      <c r="LS16" s="214"/>
      <c r="LT16" s="214"/>
      <c r="LU16" s="214"/>
      <c r="LV16" s="214"/>
      <c r="LW16" s="214"/>
      <c r="LX16" s="214"/>
      <c r="LY16" s="214"/>
      <c r="LZ16" s="214"/>
      <c r="MA16" s="214"/>
      <c r="MB16" s="214"/>
      <c r="MC16" s="214"/>
      <c r="MD16" s="214"/>
      <c r="ME16" s="214"/>
      <c r="MF16" s="214"/>
      <c r="MG16" s="214"/>
      <c r="MH16" s="214"/>
      <c r="MI16" s="214"/>
      <c r="MJ16" s="214"/>
      <c r="MK16" s="214"/>
      <c r="ML16" s="214"/>
      <c r="MM16" s="214"/>
      <c r="MN16" s="214"/>
      <c r="MO16" s="214"/>
      <c r="MP16" s="214"/>
      <c r="MQ16" s="214"/>
      <c r="MR16" s="214"/>
      <c r="MS16" s="214"/>
      <c r="MT16" s="214"/>
      <c r="MU16" s="214"/>
      <c r="MV16" s="214"/>
      <c r="MW16" s="214"/>
      <c r="MX16" s="214"/>
      <c r="MY16" s="214"/>
      <c r="MZ16" s="214"/>
      <c r="NA16" s="214"/>
      <c r="NB16" s="214"/>
      <c r="NC16" s="214"/>
      <c r="ND16" s="214"/>
      <c r="NE16" s="214"/>
      <c r="NF16" s="214"/>
      <c r="NG16" s="214"/>
      <c r="NH16" s="214"/>
      <c r="NI16" s="214"/>
      <c r="NJ16" s="214"/>
      <c r="NK16" s="214"/>
      <c r="NL16" s="214"/>
      <c r="NM16" s="214"/>
      <c r="NN16" s="214"/>
      <c r="NO16" s="214"/>
      <c r="NP16" s="214"/>
      <c r="NQ16" s="214"/>
      <c r="NR16" s="214"/>
      <c r="NS16" s="214"/>
      <c r="NT16" s="214"/>
      <c r="NU16" s="214"/>
      <c r="NV16" s="214"/>
      <c r="NW16" s="214"/>
      <c r="NX16" s="214"/>
      <c r="NY16" s="214"/>
      <c r="NZ16" s="214"/>
      <c r="OA16" s="214"/>
      <c r="OB16" s="214"/>
      <c r="OC16" s="214"/>
      <c r="OD16" s="214"/>
      <c r="OE16" s="214"/>
      <c r="OF16" s="214"/>
      <c r="OG16" s="214"/>
      <c r="OH16" s="214"/>
      <c r="OI16" s="214"/>
      <c r="OJ16" s="214"/>
      <c r="OK16" s="214"/>
      <c r="OL16" s="214"/>
      <c r="OM16" s="214"/>
      <c r="ON16" s="214"/>
      <c r="OO16" s="214"/>
      <c r="OP16" s="214"/>
      <c r="OQ16" s="214"/>
      <c r="OR16" s="214"/>
      <c r="OS16" s="214"/>
      <c r="OT16" s="214"/>
      <c r="OU16" s="214"/>
      <c r="OV16" s="214"/>
      <c r="OW16" s="214"/>
      <c r="OX16" s="214"/>
      <c r="OY16" s="214"/>
      <c r="OZ16" s="214"/>
      <c r="PA16" s="214"/>
      <c r="PB16" s="214"/>
      <c r="PC16" s="214"/>
      <c r="PD16" s="214"/>
      <c r="PE16" s="214"/>
      <c r="PF16" s="214"/>
      <c r="PG16" s="214"/>
      <c r="PH16" s="214"/>
      <c r="PI16" s="214"/>
      <c r="PJ16" s="214"/>
      <c r="PK16" s="214"/>
      <c r="PL16" s="214"/>
      <c r="PM16" s="214"/>
      <c r="PN16" s="214"/>
      <c r="PO16" s="214"/>
      <c r="PP16" s="214"/>
      <c r="PQ16" s="214"/>
      <c r="PR16" s="214"/>
      <c r="PS16" s="214"/>
      <c r="PT16" s="214"/>
      <c r="PU16" s="214"/>
      <c r="PV16" s="214"/>
      <c r="PW16" s="214"/>
      <c r="PX16" s="214"/>
      <c r="PY16" s="214"/>
      <c r="PZ16" s="214"/>
      <c r="QA16" s="214"/>
      <c r="QB16" s="214"/>
      <c r="QC16" s="214"/>
      <c r="QD16" s="214"/>
      <c r="QE16" s="214"/>
      <c r="QF16" s="214"/>
      <c r="QG16" s="214"/>
      <c r="QH16" s="214"/>
      <c r="QI16" s="214"/>
      <c r="QJ16" s="214"/>
      <c r="QK16" s="214"/>
      <c r="QL16" s="214"/>
      <c r="QM16" s="214"/>
      <c r="QN16" s="214"/>
      <c r="QO16" s="214"/>
      <c r="QP16" s="214"/>
      <c r="QQ16" s="214"/>
      <c r="QR16" s="214"/>
      <c r="QS16" s="214"/>
      <c r="QT16" s="214"/>
      <c r="QU16" s="214"/>
      <c r="QV16" s="214"/>
      <c r="QW16" s="214"/>
      <c r="QX16" s="214"/>
      <c r="QY16" s="214"/>
      <c r="QZ16" s="214"/>
      <c r="RA16" s="214"/>
      <c r="RB16" s="214"/>
      <c r="RC16" s="214"/>
      <c r="RD16" s="214"/>
      <c r="RE16" s="214"/>
      <c r="RF16" s="214"/>
      <c r="RG16" s="214"/>
      <c r="RH16" s="214"/>
      <c r="RI16" s="214"/>
      <c r="RJ16" s="214"/>
      <c r="RK16" s="214"/>
      <c r="RL16" s="214"/>
      <c r="RM16" s="214"/>
      <c r="RN16" s="214"/>
      <c r="RO16" s="214"/>
      <c r="RP16" s="214"/>
      <c r="RQ16" s="214"/>
      <c r="RR16" s="214"/>
      <c r="RS16" s="214"/>
      <c r="RT16" s="214"/>
      <c r="RU16" s="214"/>
      <c r="RV16" s="214"/>
      <c r="RW16" s="214"/>
      <c r="RX16" s="214"/>
      <c r="RY16" s="214"/>
      <c r="RZ16" s="214"/>
      <c r="SA16" s="214"/>
      <c r="SB16" s="214"/>
      <c r="SC16" s="214"/>
      <c r="SD16" s="214"/>
      <c r="SE16" s="214"/>
      <c r="SF16" s="214"/>
      <c r="SG16" s="214"/>
      <c r="SH16" s="214"/>
      <c r="SI16" s="214"/>
      <c r="SJ16" s="214"/>
      <c r="SK16" s="214"/>
      <c r="SL16" s="214"/>
      <c r="SM16" s="214"/>
      <c r="SN16" s="214"/>
      <c r="SO16" s="214"/>
      <c r="SP16" s="214"/>
      <c r="SQ16" s="214"/>
      <c r="SR16" s="214"/>
      <c r="SS16" s="214"/>
      <c r="ST16" s="214"/>
      <c r="SU16" s="214"/>
      <c r="SV16" s="214"/>
      <c r="SW16" s="214"/>
      <c r="SX16" s="214"/>
      <c r="SY16" s="214"/>
      <c r="SZ16" s="214"/>
      <c r="TA16" s="214"/>
      <c r="TB16" s="214"/>
      <c r="TC16" s="214"/>
      <c r="TD16" s="214"/>
      <c r="TE16" s="214"/>
      <c r="TF16" s="214"/>
      <c r="TG16" s="214"/>
      <c r="TH16" s="214"/>
      <c r="TI16" s="214"/>
      <c r="TJ16" s="214"/>
      <c r="TK16" s="214"/>
      <c r="TL16" s="214"/>
      <c r="TM16" s="214"/>
      <c r="TN16" s="214"/>
      <c r="TO16" s="214"/>
      <c r="TP16" s="214"/>
      <c r="TQ16" s="214"/>
      <c r="TR16" s="214"/>
      <c r="TS16" s="214"/>
      <c r="TT16" s="214"/>
      <c r="TU16" s="214"/>
      <c r="TV16" s="214"/>
      <c r="TW16" s="214"/>
      <c r="TX16" s="214"/>
      <c r="TY16" s="214"/>
      <c r="TZ16" s="214"/>
      <c r="UA16" s="214"/>
      <c r="UB16" s="214"/>
      <c r="UC16" s="214"/>
      <c r="UD16" s="214"/>
      <c r="UE16" s="214"/>
      <c r="UF16" s="214"/>
      <c r="UG16" s="214"/>
      <c r="UH16" s="214"/>
      <c r="UI16" s="214"/>
      <c r="UJ16" s="214"/>
      <c r="UK16" s="214"/>
      <c r="UL16" s="214"/>
      <c r="UM16" s="214"/>
      <c r="UN16" s="214"/>
      <c r="UO16" s="214"/>
      <c r="UP16" s="214"/>
      <c r="UQ16" s="214"/>
      <c r="UR16" s="214"/>
      <c r="US16" s="214"/>
      <c r="UT16" s="214"/>
      <c r="UU16" s="214"/>
      <c r="UV16" s="214"/>
      <c r="UW16" s="214"/>
      <c r="UX16" s="214"/>
      <c r="UY16" s="214"/>
      <c r="UZ16" s="214"/>
      <c r="VA16" s="214"/>
      <c r="VB16" s="214"/>
      <c r="VC16" s="214"/>
      <c r="VD16" s="214"/>
      <c r="VE16" s="214"/>
      <c r="VF16" s="214"/>
      <c r="VG16" s="214"/>
      <c r="VH16" s="214"/>
      <c r="VI16" s="214"/>
      <c r="VJ16" s="214"/>
      <c r="VK16" s="214"/>
      <c r="VL16" s="214"/>
      <c r="VM16" s="214"/>
      <c r="VN16" s="214"/>
      <c r="VO16" s="214"/>
      <c r="VP16" s="214"/>
      <c r="VQ16" s="214"/>
      <c r="VR16" s="214"/>
      <c r="VS16" s="214"/>
      <c r="VT16" s="214"/>
      <c r="VU16" s="214"/>
      <c r="VV16" s="214"/>
      <c r="VW16" s="214"/>
      <c r="VX16" s="214"/>
      <c r="VY16" s="214"/>
      <c r="VZ16" s="214"/>
      <c r="WA16" s="214"/>
      <c r="WB16" s="214"/>
      <c r="WC16" s="214"/>
      <c r="WD16" s="214"/>
      <c r="WE16" s="214"/>
      <c r="WF16" s="214"/>
      <c r="WG16" s="214"/>
      <c r="WH16" s="214"/>
      <c r="WI16" s="214"/>
      <c r="WJ16" s="214"/>
      <c r="WK16" s="214"/>
      <c r="WL16" s="214"/>
      <c r="WM16" s="214"/>
      <c r="WN16" s="214"/>
      <c r="WO16" s="214"/>
      <c r="WP16" s="214"/>
      <c r="WQ16" s="214"/>
      <c r="WR16" s="214"/>
      <c r="WS16" s="214"/>
      <c r="WT16" s="214"/>
      <c r="WU16" s="214"/>
      <c r="WV16" s="214"/>
      <c r="WW16" s="214"/>
      <c r="WX16" s="214"/>
      <c r="WY16" s="214"/>
      <c r="WZ16" s="214"/>
      <c r="XA16" s="214"/>
      <c r="XB16" s="214"/>
      <c r="XC16" s="214"/>
      <c r="XD16" s="214"/>
      <c r="XE16" s="214"/>
      <c r="XF16" s="214"/>
      <c r="XG16" s="214"/>
      <c r="XH16" s="214"/>
      <c r="XI16" s="214"/>
      <c r="XJ16" s="214"/>
      <c r="XK16" s="214"/>
      <c r="XL16" s="214"/>
      <c r="XM16" s="214"/>
      <c r="XN16" s="214"/>
      <c r="XO16" s="214"/>
      <c r="XP16" s="214"/>
      <c r="XQ16" s="214"/>
      <c r="XR16" s="214"/>
      <c r="XS16" s="214"/>
      <c r="XT16" s="214"/>
      <c r="XU16" s="214"/>
      <c r="XV16" s="214"/>
      <c r="XW16" s="214"/>
      <c r="XX16" s="214"/>
      <c r="XY16" s="214"/>
      <c r="XZ16" s="214"/>
      <c r="YA16" s="214"/>
      <c r="YB16" s="214"/>
      <c r="YC16" s="214"/>
      <c r="YD16" s="214"/>
      <c r="YE16" s="214"/>
      <c r="YF16" s="214"/>
      <c r="YG16" s="214"/>
      <c r="YH16" s="214"/>
      <c r="YI16" s="214"/>
      <c r="YJ16" s="214"/>
      <c r="YK16" s="214"/>
      <c r="YL16" s="214"/>
      <c r="YM16" s="214"/>
      <c r="YN16" s="214"/>
      <c r="YO16" s="214"/>
      <c r="YP16" s="214"/>
      <c r="YQ16" s="214"/>
      <c r="YR16" s="214"/>
      <c r="YS16" s="214"/>
      <c r="YT16" s="214"/>
      <c r="YU16" s="214"/>
      <c r="YV16" s="214"/>
      <c r="YW16" s="214"/>
      <c r="YX16" s="214"/>
      <c r="YY16" s="214"/>
      <c r="YZ16" s="214"/>
      <c r="ZA16" s="214"/>
      <c r="ZB16" s="214"/>
      <c r="ZC16" s="214"/>
      <c r="ZD16" s="214"/>
      <c r="ZE16" s="214"/>
      <c r="ZF16" s="214"/>
      <c r="ZG16" s="214"/>
      <c r="ZH16" s="214"/>
      <c r="ZI16" s="214"/>
      <c r="ZJ16" s="214"/>
      <c r="ZK16" s="214"/>
      <c r="ZL16" s="214"/>
      <c r="ZM16" s="214"/>
      <c r="ZN16" s="214"/>
      <c r="ZO16" s="214"/>
      <c r="ZP16" s="214"/>
      <c r="ZQ16" s="214"/>
      <c r="ZR16" s="214"/>
      <c r="ZS16" s="214"/>
      <c r="ZT16" s="214"/>
      <c r="ZU16" s="214"/>
      <c r="ZV16" s="214"/>
      <c r="ZW16" s="214"/>
    </row>
    <row r="17" spans="1:699" ht="15.75" customHeight="1" x14ac:dyDescent="0.2">
      <c r="A17" s="42"/>
      <c r="B17" s="234">
        <v>2016</v>
      </c>
      <c r="C17" s="235">
        <v>1100000</v>
      </c>
      <c r="D17" s="235">
        <v>1650000</v>
      </c>
      <c r="E17" s="237"/>
      <c r="F17" s="210"/>
      <c r="G17" s="61"/>
      <c r="H17" s="233"/>
      <c r="I17" s="233" t="s">
        <v>21</v>
      </c>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214"/>
      <c r="CV17" s="214"/>
      <c r="CW17" s="214"/>
      <c r="CX17" s="214"/>
      <c r="CY17" s="214"/>
      <c r="CZ17" s="214"/>
      <c r="DA17" s="214"/>
      <c r="DB17" s="214"/>
      <c r="DC17" s="214"/>
      <c r="DD17" s="214"/>
      <c r="DE17" s="214"/>
      <c r="DF17" s="214"/>
      <c r="DG17" s="214"/>
      <c r="DH17" s="214"/>
      <c r="DI17" s="214"/>
      <c r="DJ17" s="214"/>
      <c r="DK17" s="214"/>
      <c r="DL17" s="214"/>
      <c r="DM17" s="214"/>
      <c r="DN17" s="214"/>
      <c r="DO17" s="214"/>
      <c r="DP17" s="214"/>
      <c r="DQ17" s="214"/>
      <c r="DR17" s="214"/>
      <c r="DS17" s="214"/>
      <c r="DT17" s="214"/>
      <c r="DU17" s="214"/>
      <c r="DV17" s="214"/>
      <c r="DW17" s="214"/>
      <c r="DX17" s="214"/>
      <c r="DY17" s="214"/>
      <c r="DZ17" s="214"/>
      <c r="EA17" s="214"/>
      <c r="EB17" s="214"/>
      <c r="EC17" s="214"/>
      <c r="ED17" s="214"/>
      <c r="EE17" s="214"/>
      <c r="EF17" s="214"/>
      <c r="EG17" s="214"/>
      <c r="EH17" s="214"/>
      <c r="EI17" s="214"/>
      <c r="EJ17" s="214"/>
      <c r="EK17" s="214"/>
      <c r="EL17" s="214"/>
      <c r="EM17" s="214"/>
      <c r="EN17" s="214"/>
      <c r="EO17" s="214"/>
      <c r="EP17" s="214"/>
      <c r="EQ17" s="214"/>
      <c r="ER17" s="214"/>
      <c r="ES17" s="214"/>
      <c r="ET17" s="214"/>
      <c r="EU17" s="214"/>
      <c r="EV17" s="214"/>
      <c r="EW17" s="214"/>
      <c r="EX17" s="214"/>
      <c r="EY17" s="214"/>
      <c r="EZ17" s="214"/>
      <c r="FA17" s="214"/>
      <c r="FB17" s="214"/>
      <c r="FC17" s="214"/>
      <c r="FD17" s="214"/>
      <c r="FE17" s="214"/>
      <c r="FF17" s="214"/>
      <c r="FG17" s="214"/>
      <c r="FH17" s="214"/>
      <c r="FI17" s="214"/>
      <c r="FJ17" s="214"/>
      <c r="FK17" s="214"/>
      <c r="FL17" s="214"/>
      <c r="FM17" s="214"/>
      <c r="FN17" s="214"/>
      <c r="FO17" s="214"/>
      <c r="FP17" s="214"/>
      <c r="FQ17" s="214"/>
      <c r="FR17" s="214"/>
      <c r="FS17" s="214"/>
      <c r="FT17" s="214"/>
      <c r="FU17" s="214"/>
      <c r="FV17" s="214"/>
      <c r="FW17" s="214"/>
      <c r="FX17" s="214"/>
      <c r="FY17" s="214"/>
      <c r="FZ17" s="214"/>
      <c r="GA17" s="214"/>
      <c r="GB17" s="214"/>
      <c r="GC17" s="214"/>
      <c r="GD17" s="214"/>
      <c r="GE17" s="214"/>
      <c r="GF17" s="214"/>
      <c r="GG17" s="214"/>
      <c r="GH17" s="214"/>
      <c r="GI17" s="214"/>
      <c r="GJ17" s="214"/>
      <c r="GK17" s="214"/>
      <c r="GL17" s="214"/>
      <c r="GM17" s="214"/>
      <c r="GN17" s="214"/>
      <c r="GO17" s="214"/>
      <c r="GP17" s="214"/>
      <c r="GQ17" s="214"/>
      <c r="GR17" s="214"/>
      <c r="GS17" s="214"/>
      <c r="GT17" s="214"/>
      <c r="GU17" s="214"/>
      <c r="GV17" s="214"/>
      <c r="GW17" s="214"/>
      <c r="GX17" s="214"/>
      <c r="GY17" s="214"/>
      <c r="GZ17" s="214"/>
      <c r="HA17" s="214"/>
      <c r="HB17" s="214"/>
      <c r="HC17" s="214"/>
      <c r="HD17" s="214"/>
      <c r="HE17" s="214"/>
      <c r="HF17" s="214"/>
      <c r="HG17" s="214"/>
      <c r="HH17" s="214"/>
      <c r="HI17" s="214"/>
      <c r="HJ17" s="214"/>
      <c r="HK17" s="214"/>
      <c r="HL17" s="214"/>
      <c r="HM17" s="214"/>
      <c r="HN17" s="214"/>
      <c r="HO17" s="214"/>
      <c r="HP17" s="214"/>
      <c r="HQ17" s="214"/>
      <c r="HR17" s="214"/>
      <c r="HS17" s="214"/>
      <c r="HT17" s="214"/>
      <c r="HU17" s="214"/>
      <c r="HV17" s="214"/>
      <c r="HW17" s="214"/>
      <c r="HX17" s="214"/>
      <c r="HY17" s="214"/>
      <c r="HZ17" s="214"/>
      <c r="IA17" s="214"/>
      <c r="IB17" s="214"/>
      <c r="IC17" s="214"/>
      <c r="ID17" s="214"/>
      <c r="IE17" s="214"/>
      <c r="IF17" s="214"/>
      <c r="IG17" s="214"/>
      <c r="IH17" s="214"/>
      <c r="II17" s="214"/>
      <c r="IJ17" s="214"/>
      <c r="IK17" s="214"/>
      <c r="IL17" s="214"/>
      <c r="IM17" s="214"/>
      <c r="IN17" s="214"/>
      <c r="IO17" s="214"/>
      <c r="IP17" s="214"/>
      <c r="IQ17" s="214"/>
      <c r="IR17" s="214"/>
      <c r="IS17" s="214"/>
      <c r="IT17" s="214"/>
      <c r="IU17" s="214"/>
      <c r="IV17" s="214"/>
      <c r="IW17" s="214"/>
      <c r="IX17" s="214"/>
      <c r="IY17" s="214"/>
      <c r="IZ17" s="214"/>
      <c r="JA17" s="214"/>
      <c r="JB17" s="214"/>
      <c r="JC17" s="214"/>
      <c r="JD17" s="214"/>
      <c r="JE17" s="214"/>
      <c r="JF17" s="214"/>
      <c r="JG17" s="214"/>
      <c r="JH17" s="214"/>
      <c r="JI17" s="214"/>
      <c r="JJ17" s="214"/>
      <c r="JK17" s="214"/>
      <c r="JL17" s="214"/>
      <c r="JM17" s="214"/>
      <c r="JN17" s="214"/>
      <c r="JO17" s="214"/>
      <c r="JP17" s="214"/>
      <c r="JQ17" s="214"/>
      <c r="JR17" s="214"/>
      <c r="JS17" s="214"/>
      <c r="JT17" s="214"/>
      <c r="JU17" s="214"/>
      <c r="JV17" s="214"/>
      <c r="JW17" s="214"/>
      <c r="JX17" s="214"/>
      <c r="JY17" s="214"/>
      <c r="JZ17" s="214"/>
      <c r="KA17" s="214"/>
      <c r="KB17" s="214"/>
      <c r="KC17" s="214"/>
      <c r="KD17" s="214"/>
      <c r="KE17" s="214"/>
      <c r="KF17" s="214"/>
      <c r="KG17" s="214"/>
      <c r="KH17" s="214"/>
      <c r="KI17" s="214"/>
      <c r="KJ17" s="214"/>
      <c r="KK17" s="214"/>
      <c r="KL17" s="214"/>
      <c r="KM17" s="214"/>
      <c r="KN17" s="214"/>
      <c r="KO17" s="214"/>
      <c r="KP17" s="214"/>
      <c r="KQ17" s="214"/>
      <c r="KR17" s="214"/>
      <c r="KS17" s="214"/>
      <c r="KT17" s="214"/>
      <c r="KU17" s="214"/>
      <c r="KV17" s="214"/>
      <c r="KW17" s="214"/>
      <c r="KX17" s="214"/>
      <c r="KY17" s="214"/>
      <c r="KZ17" s="214"/>
      <c r="LA17" s="214"/>
      <c r="LB17" s="214"/>
      <c r="LC17" s="214"/>
      <c r="LD17" s="214"/>
      <c r="LE17" s="214"/>
      <c r="LF17" s="214"/>
      <c r="LG17" s="214"/>
      <c r="LH17" s="214"/>
      <c r="LI17" s="214"/>
      <c r="LJ17" s="214"/>
      <c r="LK17" s="214"/>
      <c r="LL17" s="214"/>
      <c r="LM17" s="214"/>
      <c r="LN17" s="214"/>
      <c r="LO17" s="214"/>
      <c r="LP17" s="214"/>
      <c r="LQ17" s="214"/>
      <c r="LR17" s="214"/>
      <c r="LS17" s="214"/>
      <c r="LT17" s="214"/>
      <c r="LU17" s="214"/>
      <c r="LV17" s="214"/>
      <c r="LW17" s="214"/>
      <c r="LX17" s="214"/>
      <c r="LY17" s="214"/>
      <c r="LZ17" s="214"/>
      <c r="MA17" s="214"/>
      <c r="MB17" s="214"/>
      <c r="MC17" s="214"/>
      <c r="MD17" s="214"/>
      <c r="ME17" s="214"/>
      <c r="MF17" s="214"/>
      <c r="MG17" s="214"/>
      <c r="MH17" s="214"/>
      <c r="MI17" s="214"/>
      <c r="MJ17" s="214"/>
      <c r="MK17" s="214"/>
      <c r="ML17" s="214"/>
      <c r="MM17" s="214"/>
      <c r="MN17" s="214"/>
      <c r="MO17" s="214"/>
      <c r="MP17" s="214"/>
      <c r="MQ17" s="214"/>
      <c r="MR17" s="214"/>
      <c r="MS17" s="214"/>
      <c r="MT17" s="214"/>
      <c r="MU17" s="214"/>
      <c r="MV17" s="214"/>
      <c r="MW17" s="214"/>
      <c r="MX17" s="214"/>
      <c r="MY17" s="214"/>
      <c r="MZ17" s="214"/>
      <c r="NA17" s="214"/>
      <c r="NB17" s="214"/>
      <c r="NC17" s="214"/>
      <c r="ND17" s="214"/>
      <c r="NE17" s="214"/>
      <c r="NF17" s="214"/>
      <c r="NG17" s="214"/>
      <c r="NH17" s="214"/>
      <c r="NI17" s="214"/>
      <c r="NJ17" s="214"/>
      <c r="NK17" s="214"/>
      <c r="NL17" s="214"/>
      <c r="NM17" s="214"/>
      <c r="NN17" s="214"/>
      <c r="NO17" s="214"/>
      <c r="NP17" s="214"/>
      <c r="NQ17" s="214"/>
      <c r="NR17" s="214"/>
      <c r="NS17" s="214"/>
      <c r="NT17" s="214"/>
      <c r="NU17" s="214"/>
      <c r="NV17" s="214"/>
      <c r="NW17" s="214"/>
      <c r="NX17" s="214"/>
      <c r="NY17" s="214"/>
      <c r="NZ17" s="214"/>
      <c r="OA17" s="214"/>
      <c r="OB17" s="214"/>
      <c r="OC17" s="214"/>
      <c r="OD17" s="214"/>
      <c r="OE17" s="214"/>
      <c r="OF17" s="214"/>
      <c r="OG17" s="214"/>
      <c r="OH17" s="214"/>
      <c r="OI17" s="214"/>
      <c r="OJ17" s="214"/>
      <c r="OK17" s="214"/>
      <c r="OL17" s="214"/>
      <c r="OM17" s="214"/>
      <c r="ON17" s="214"/>
      <c r="OO17" s="214"/>
      <c r="OP17" s="214"/>
      <c r="OQ17" s="214"/>
      <c r="OR17" s="214"/>
      <c r="OS17" s="214"/>
      <c r="OT17" s="214"/>
      <c r="OU17" s="214"/>
      <c r="OV17" s="214"/>
      <c r="OW17" s="214"/>
      <c r="OX17" s="214"/>
      <c r="OY17" s="214"/>
      <c r="OZ17" s="214"/>
      <c r="PA17" s="214"/>
      <c r="PB17" s="214"/>
      <c r="PC17" s="214"/>
      <c r="PD17" s="214"/>
      <c r="PE17" s="214"/>
      <c r="PF17" s="214"/>
      <c r="PG17" s="214"/>
      <c r="PH17" s="214"/>
      <c r="PI17" s="214"/>
      <c r="PJ17" s="214"/>
      <c r="PK17" s="214"/>
      <c r="PL17" s="214"/>
      <c r="PM17" s="214"/>
      <c r="PN17" s="214"/>
      <c r="PO17" s="214"/>
      <c r="PP17" s="214"/>
      <c r="PQ17" s="214"/>
      <c r="PR17" s="214"/>
      <c r="PS17" s="214"/>
      <c r="PT17" s="214"/>
      <c r="PU17" s="214"/>
      <c r="PV17" s="214"/>
      <c r="PW17" s="214"/>
      <c r="PX17" s="214"/>
      <c r="PY17" s="214"/>
      <c r="PZ17" s="214"/>
      <c r="QA17" s="214"/>
      <c r="QB17" s="214"/>
      <c r="QC17" s="214"/>
      <c r="QD17" s="214"/>
      <c r="QE17" s="214"/>
      <c r="QF17" s="214"/>
      <c r="QG17" s="214"/>
      <c r="QH17" s="214"/>
      <c r="QI17" s="214"/>
      <c r="QJ17" s="214"/>
      <c r="QK17" s="214"/>
      <c r="QL17" s="214"/>
      <c r="QM17" s="214"/>
      <c r="QN17" s="214"/>
      <c r="QO17" s="214"/>
      <c r="QP17" s="214"/>
      <c r="QQ17" s="214"/>
      <c r="QR17" s="214"/>
      <c r="QS17" s="214"/>
      <c r="QT17" s="214"/>
      <c r="QU17" s="214"/>
      <c r="QV17" s="214"/>
      <c r="QW17" s="214"/>
      <c r="QX17" s="214"/>
      <c r="QY17" s="214"/>
      <c r="QZ17" s="214"/>
      <c r="RA17" s="214"/>
      <c r="RB17" s="214"/>
      <c r="RC17" s="214"/>
      <c r="RD17" s="214"/>
      <c r="RE17" s="214"/>
      <c r="RF17" s="214"/>
      <c r="RG17" s="214"/>
      <c r="RH17" s="214"/>
      <c r="RI17" s="214"/>
      <c r="RJ17" s="214"/>
      <c r="RK17" s="214"/>
      <c r="RL17" s="214"/>
      <c r="RM17" s="214"/>
      <c r="RN17" s="214"/>
      <c r="RO17" s="214"/>
      <c r="RP17" s="214"/>
      <c r="RQ17" s="214"/>
      <c r="RR17" s="214"/>
      <c r="RS17" s="214"/>
      <c r="RT17" s="214"/>
      <c r="RU17" s="214"/>
      <c r="RV17" s="214"/>
      <c r="RW17" s="214"/>
      <c r="RX17" s="214"/>
      <c r="RY17" s="214"/>
      <c r="RZ17" s="214"/>
      <c r="SA17" s="214"/>
      <c r="SB17" s="214"/>
      <c r="SC17" s="214"/>
      <c r="SD17" s="214"/>
      <c r="SE17" s="214"/>
      <c r="SF17" s="214"/>
      <c r="SG17" s="214"/>
      <c r="SH17" s="214"/>
      <c r="SI17" s="214"/>
      <c r="SJ17" s="214"/>
      <c r="SK17" s="214"/>
      <c r="SL17" s="214"/>
      <c r="SM17" s="214"/>
      <c r="SN17" s="214"/>
      <c r="SO17" s="214"/>
      <c r="SP17" s="214"/>
      <c r="SQ17" s="214"/>
      <c r="SR17" s="214"/>
      <c r="SS17" s="214"/>
      <c r="ST17" s="214"/>
      <c r="SU17" s="214"/>
      <c r="SV17" s="214"/>
      <c r="SW17" s="214"/>
      <c r="SX17" s="214"/>
      <c r="SY17" s="214"/>
      <c r="SZ17" s="214"/>
      <c r="TA17" s="214"/>
      <c r="TB17" s="214"/>
      <c r="TC17" s="214"/>
      <c r="TD17" s="214"/>
      <c r="TE17" s="214"/>
      <c r="TF17" s="214"/>
      <c r="TG17" s="214"/>
      <c r="TH17" s="214"/>
      <c r="TI17" s="214"/>
      <c r="TJ17" s="214"/>
      <c r="TK17" s="214"/>
      <c r="TL17" s="214"/>
      <c r="TM17" s="214"/>
      <c r="TN17" s="214"/>
      <c r="TO17" s="214"/>
      <c r="TP17" s="214"/>
      <c r="TQ17" s="214"/>
      <c r="TR17" s="214"/>
      <c r="TS17" s="214"/>
      <c r="TT17" s="214"/>
      <c r="TU17" s="214"/>
      <c r="TV17" s="214"/>
      <c r="TW17" s="214"/>
      <c r="TX17" s="214"/>
      <c r="TY17" s="214"/>
      <c r="TZ17" s="214"/>
      <c r="UA17" s="214"/>
      <c r="UB17" s="214"/>
      <c r="UC17" s="214"/>
      <c r="UD17" s="214"/>
      <c r="UE17" s="214"/>
      <c r="UF17" s="214"/>
      <c r="UG17" s="214"/>
      <c r="UH17" s="214"/>
      <c r="UI17" s="214"/>
      <c r="UJ17" s="214"/>
      <c r="UK17" s="214"/>
      <c r="UL17" s="214"/>
      <c r="UM17" s="214"/>
      <c r="UN17" s="214"/>
      <c r="UO17" s="214"/>
      <c r="UP17" s="214"/>
      <c r="UQ17" s="214"/>
      <c r="UR17" s="214"/>
      <c r="US17" s="214"/>
      <c r="UT17" s="214"/>
      <c r="UU17" s="214"/>
      <c r="UV17" s="214"/>
      <c r="UW17" s="214"/>
      <c r="UX17" s="214"/>
      <c r="UY17" s="214"/>
      <c r="UZ17" s="214"/>
      <c r="VA17" s="214"/>
      <c r="VB17" s="214"/>
      <c r="VC17" s="214"/>
      <c r="VD17" s="214"/>
      <c r="VE17" s="214"/>
      <c r="VF17" s="214"/>
      <c r="VG17" s="214"/>
      <c r="VH17" s="214"/>
      <c r="VI17" s="214"/>
      <c r="VJ17" s="214"/>
      <c r="VK17" s="214"/>
      <c r="VL17" s="214"/>
      <c r="VM17" s="214"/>
      <c r="VN17" s="214"/>
      <c r="VO17" s="214"/>
      <c r="VP17" s="214"/>
      <c r="VQ17" s="214"/>
      <c r="VR17" s="214"/>
      <c r="VS17" s="214"/>
      <c r="VT17" s="214"/>
      <c r="VU17" s="214"/>
      <c r="VV17" s="214"/>
      <c r="VW17" s="214"/>
      <c r="VX17" s="214"/>
      <c r="VY17" s="214"/>
      <c r="VZ17" s="214"/>
      <c r="WA17" s="214"/>
      <c r="WB17" s="214"/>
      <c r="WC17" s="214"/>
      <c r="WD17" s="214"/>
      <c r="WE17" s="214"/>
      <c r="WF17" s="214"/>
      <c r="WG17" s="214"/>
      <c r="WH17" s="214"/>
      <c r="WI17" s="214"/>
      <c r="WJ17" s="214"/>
      <c r="WK17" s="214"/>
      <c r="WL17" s="214"/>
      <c r="WM17" s="214"/>
      <c r="WN17" s="214"/>
      <c r="WO17" s="214"/>
      <c r="WP17" s="214"/>
      <c r="WQ17" s="214"/>
      <c r="WR17" s="214"/>
      <c r="WS17" s="214"/>
      <c r="WT17" s="214"/>
      <c r="WU17" s="214"/>
      <c r="WV17" s="214"/>
      <c r="WW17" s="214"/>
      <c r="WX17" s="214"/>
      <c r="WY17" s="214"/>
      <c r="WZ17" s="214"/>
      <c r="XA17" s="214"/>
      <c r="XB17" s="214"/>
      <c r="XC17" s="214"/>
      <c r="XD17" s="214"/>
      <c r="XE17" s="214"/>
      <c r="XF17" s="214"/>
      <c r="XG17" s="214"/>
      <c r="XH17" s="214"/>
      <c r="XI17" s="214"/>
      <c r="XJ17" s="214"/>
      <c r="XK17" s="214"/>
      <c r="XL17" s="214"/>
      <c r="XM17" s="214"/>
      <c r="XN17" s="214"/>
      <c r="XO17" s="214"/>
      <c r="XP17" s="214"/>
      <c r="XQ17" s="214"/>
      <c r="XR17" s="214"/>
      <c r="XS17" s="214"/>
      <c r="XT17" s="214"/>
      <c r="XU17" s="214"/>
      <c r="XV17" s="214"/>
      <c r="XW17" s="214"/>
      <c r="XX17" s="214"/>
      <c r="XY17" s="214"/>
      <c r="XZ17" s="214"/>
      <c r="YA17" s="214"/>
      <c r="YB17" s="214"/>
      <c r="YC17" s="214"/>
      <c r="YD17" s="214"/>
      <c r="YE17" s="214"/>
      <c r="YF17" s="214"/>
      <c r="YG17" s="214"/>
      <c r="YH17" s="214"/>
      <c r="YI17" s="214"/>
      <c r="YJ17" s="214"/>
      <c r="YK17" s="214"/>
      <c r="YL17" s="214"/>
      <c r="YM17" s="214"/>
      <c r="YN17" s="214"/>
      <c r="YO17" s="214"/>
      <c r="YP17" s="214"/>
      <c r="YQ17" s="214"/>
      <c r="YR17" s="214"/>
      <c r="YS17" s="214"/>
      <c r="YT17" s="214"/>
      <c r="YU17" s="214"/>
      <c r="YV17" s="214"/>
      <c r="YW17" s="214"/>
      <c r="YX17" s="214"/>
      <c r="YY17" s="214"/>
      <c r="YZ17" s="214"/>
      <c r="ZA17" s="214"/>
      <c r="ZB17" s="214"/>
      <c r="ZC17" s="214"/>
      <c r="ZD17" s="214"/>
      <c r="ZE17" s="214"/>
      <c r="ZF17" s="214"/>
      <c r="ZG17" s="214"/>
      <c r="ZH17" s="214"/>
      <c r="ZI17" s="214"/>
      <c r="ZJ17" s="214"/>
      <c r="ZK17" s="214"/>
      <c r="ZL17" s="214"/>
      <c r="ZM17" s="214"/>
      <c r="ZN17" s="214"/>
      <c r="ZO17" s="214"/>
      <c r="ZP17" s="214"/>
      <c r="ZQ17" s="214"/>
      <c r="ZR17" s="214"/>
      <c r="ZS17" s="214"/>
      <c r="ZT17" s="214"/>
      <c r="ZU17" s="214"/>
      <c r="ZV17" s="214"/>
      <c r="ZW17" s="214"/>
    </row>
    <row r="18" spans="1:699" ht="15.75" customHeight="1" thickBot="1" x14ac:dyDescent="0.25">
      <c r="A18" s="42"/>
      <c r="B18" s="230">
        <v>2017</v>
      </c>
      <c r="C18" s="238">
        <v>900000</v>
      </c>
      <c r="D18" s="239"/>
      <c r="E18" s="240"/>
      <c r="F18" s="210"/>
      <c r="G18" s="61"/>
      <c r="H18" s="200"/>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row>
    <row r="19" spans="1:699" ht="15.75" customHeight="1" thickBot="1" x14ac:dyDescent="0.25">
      <c r="A19" s="42"/>
      <c r="B19" s="213"/>
      <c r="C19" s="209"/>
      <c r="D19" s="209"/>
      <c r="E19" s="209"/>
      <c r="F19" s="210"/>
      <c r="G19" s="61"/>
      <c r="H19" s="200"/>
      <c r="I19" s="200" t="s">
        <v>198</v>
      </c>
      <c r="J19" s="20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row>
    <row r="20" spans="1:699" ht="15.75" customHeight="1" x14ac:dyDescent="0.2">
      <c r="A20" s="42"/>
      <c r="B20" s="241">
        <v>0.05</v>
      </c>
      <c r="C20" s="242" t="s">
        <v>199</v>
      </c>
      <c r="D20" s="243"/>
      <c r="E20" s="244"/>
      <c r="F20" s="210"/>
      <c r="G20" s="61"/>
      <c r="H20" s="200"/>
      <c r="I20" s="200"/>
      <c r="J20" s="200" t="s">
        <v>200</v>
      </c>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row>
    <row r="21" spans="1:699" ht="15" customHeight="1" x14ac:dyDescent="0.2">
      <c r="A21" s="42"/>
      <c r="B21" s="245">
        <v>0.02</v>
      </c>
      <c r="C21" s="246" t="s">
        <v>201</v>
      </c>
      <c r="D21" s="209"/>
      <c r="E21" s="247"/>
      <c r="F21" s="210"/>
      <c r="G21" s="61"/>
      <c r="H21" s="200"/>
      <c r="I21" s="200"/>
      <c r="J21" s="200" t="s">
        <v>202</v>
      </c>
      <c r="K21" s="200" t="s">
        <v>203</v>
      </c>
      <c r="L21" s="200" t="s">
        <v>204</v>
      </c>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row>
    <row r="22" spans="1:699" ht="15" customHeight="1" x14ac:dyDescent="0.2">
      <c r="A22" s="42"/>
      <c r="B22" s="245">
        <v>0.06</v>
      </c>
      <c r="C22" s="246" t="s">
        <v>205</v>
      </c>
      <c r="D22" s="209"/>
      <c r="E22" s="247"/>
      <c r="F22" s="210"/>
      <c r="G22" s="61"/>
      <c r="H22" s="200"/>
      <c r="I22" s="200">
        <v>2015</v>
      </c>
      <c r="J22" s="200">
        <v>1</v>
      </c>
      <c r="K22" s="200">
        <f>(1+$C$8)*(1+$C$9)</f>
        <v>1.1340000000000001</v>
      </c>
      <c r="L22" s="248">
        <f>K22/J22</f>
        <v>1.1340000000000001</v>
      </c>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row>
    <row r="23" spans="1:699" ht="15.75" customHeight="1" x14ac:dyDescent="0.2">
      <c r="A23" s="42"/>
      <c r="B23" s="245">
        <v>0.2</v>
      </c>
      <c r="C23" s="246" t="s">
        <v>206</v>
      </c>
      <c r="D23" s="209"/>
      <c r="E23" s="247"/>
      <c r="F23" s="210"/>
      <c r="G23" s="61"/>
      <c r="H23" s="200"/>
      <c r="I23" s="200">
        <v>2016</v>
      </c>
      <c r="J23" s="200">
        <f>7/8*1+1/8*(1+C8)</f>
        <v>1.01</v>
      </c>
      <c r="K23" s="200">
        <f t="shared" ref="K23:K24" si="4">(1+$C$8)*(1+$C$9)</f>
        <v>1.1340000000000001</v>
      </c>
      <c r="L23" s="248">
        <f t="shared" ref="L23:L24" si="5">K23/J23</f>
        <v>1.1227722772277229</v>
      </c>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row>
    <row r="24" spans="1:699" ht="15.75" customHeight="1" x14ac:dyDescent="0.2">
      <c r="A24" s="42"/>
      <c r="B24" s="245">
        <v>0.65</v>
      </c>
      <c r="C24" s="246" t="s">
        <v>207</v>
      </c>
      <c r="D24" s="209"/>
      <c r="E24" s="247"/>
      <c r="F24" s="210"/>
      <c r="G24" s="61"/>
      <c r="H24" s="200"/>
      <c r="I24" s="200">
        <v>2017</v>
      </c>
      <c r="J24" s="200">
        <f>1/8*1+1/8*(1+C8)*(1+C9)+(1-1/8-1/8)*(1+C8)</f>
        <v>1.0767500000000001</v>
      </c>
      <c r="K24" s="200">
        <f t="shared" si="4"/>
        <v>1.1340000000000001</v>
      </c>
      <c r="L24" s="248">
        <f t="shared" si="5"/>
        <v>1.053169259345252</v>
      </c>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row>
    <row r="25" spans="1:699" ht="15.75" customHeight="1" x14ac:dyDescent="0.2">
      <c r="A25" s="42"/>
      <c r="B25" s="245">
        <v>0.04</v>
      </c>
      <c r="C25" s="246" t="s">
        <v>208</v>
      </c>
      <c r="D25" s="209"/>
      <c r="E25" s="247"/>
      <c r="F25" s="210"/>
      <c r="G25" s="61"/>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row>
    <row r="26" spans="1:699" ht="15.75" customHeight="1" x14ac:dyDescent="0.2">
      <c r="A26" s="42"/>
      <c r="B26" s="245">
        <v>7.0000000000000007E-2</v>
      </c>
      <c r="C26" s="246" t="s">
        <v>209</v>
      </c>
      <c r="D26" s="209"/>
      <c r="E26" s="247"/>
      <c r="F26" s="39"/>
      <c r="G26" s="4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row>
    <row r="27" spans="1:699" ht="15.75" customHeight="1" thickBot="1" x14ac:dyDescent="0.25">
      <c r="A27" s="42"/>
      <c r="B27" s="249"/>
      <c r="C27" s="250" t="s">
        <v>210</v>
      </c>
      <c r="D27" s="251"/>
      <c r="E27" s="252"/>
      <c r="F27" s="39"/>
      <c r="G27" s="40"/>
      <c r="H27" s="200"/>
      <c r="I27" s="200" t="s">
        <v>61</v>
      </c>
      <c r="J27" s="200" t="s">
        <v>211</v>
      </c>
      <c r="K27" s="200" t="s">
        <v>212</v>
      </c>
      <c r="L27" s="200" t="s">
        <v>193</v>
      </c>
      <c r="M27" s="200" t="s">
        <v>213</v>
      </c>
      <c r="N27" s="200" t="s">
        <v>214</v>
      </c>
      <c r="O27" s="200"/>
      <c r="P27" s="200" t="s">
        <v>215</v>
      </c>
      <c r="Q27" s="200" t="s">
        <v>216</v>
      </c>
      <c r="R27" s="200"/>
      <c r="S27" s="200" t="s">
        <v>107</v>
      </c>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row>
    <row r="28" spans="1:699" ht="15.75" customHeight="1" x14ac:dyDescent="0.2">
      <c r="A28" s="42"/>
      <c r="B28" s="213"/>
      <c r="C28" s="209"/>
      <c r="D28" s="209"/>
      <c r="E28" s="209"/>
      <c r="F28" s="39"/>
      <c r="G28" s="40"/>
      <c r="H28" s="200"/>
      <c r="I28" s="200">
        <v>2015</v>
      </c>
      <c r="J28" s="200">
        <v>1724999.9999999998</v>
      </c>
      <c r="K28" s="200">
        <f>(1+$B$20)^4</f>
        <v>1.21550625</v>
      </c>
      <c r="L28" s="223">
        <f>K12</f>
        <v>2500000</v>
      </c>
      <c r="M28" s="248">
        <f>L22</f>
        <v>1.1340000000000001</v>
      </c>
      <c r="N28" s="200">
        <f>(1+$B$21)^4</f>
        <v>1.08243216</v>
      </c>
      <c r="O28" s="200"/>
      <c r="P28" s="200">
        <f>PRODUCT(L28:N28)</f>
        <v>3068695.1736000003</v>
      </c>
      <c r="Q28" s="200">
        <f>PRODUCT(J28:K28)</f>
        <v>2096748.2812499998</v>
      </c>
      <c r="R28" s="200"/>
      <c r="S28" s="200">
        <f>Q28/P28</f>
        <v>0.68327030305529712</v>
      </c>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row>
    <row r="29" spans="1:699" ht="15.75" customHeight="1" x14ac:dyDescent="0.2">
      <c r="A29" s="42"/>
      <c r="B29" s="88" t="s">
        <v>18</v>
      </c>
      <c r="C29" s="209"/>
      <c r="D29" s="209"/>
      <c r="E29" s="209"/>
      <c r="F29" s="39"/>
      <c r="G29" s="40"/>
      <c r="H29" s="200"/>
      <c r="I29" s="200">
        <v>2016</v>
      </c>
      <c r="J29" s="200">
        <v>1912826.0869565215</v>
      </c>
      <c r="K29" s="200">
        <f>(1+$B$20)^3</f>
        <v>1.1576250000000001</v>
      </c>
      <c r="L29" s="223">
        <f>K13</f>
        <v>3100000</v>
      </c>
      <c r="M29" s="248">
        <f t="shared" ref="M29:M30" si="6">L23</f>
        <v>1.1227722772277229</v>
      </c>
      <c r="N29" s="200">
        <f>(1+$B$21)^3</f>
        <v>1.0612079999999999</v>
      </c>
      <c r="O29" s="200"/>
      <c r="P29" s="200">
        <f t="shared" ref="P29:P30" si="7">PRODUCT(L29:N29)</f>
        <v>3693634.2605940597</v>
      </c>
      <c r="Q29" s="200">
        <f t="shared" ref="Q29:Q30" si="8">PRODUCT(J29:K29)</f>
        <v>2214335.2989130435</v>
      </c>
      <c r="R29" s="200"/>
      <c r="S29" s="200">
        <f t="shared" ref="S29:S30" si="9">Q29/P29</f>
        <v>0.59950042226349298</v>
      </c>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row>
    <row r="30" spans="1:699" ht="15.75" customHeight="1" x14ac:dyDescent="0.2">
      <c r="A30" s="42"/>
      <c r="B30" s="88" t="s">
        <v>217</v>
      </c>
      <c r="C30" s="209"/>
      <c r="D30" s="209"/>
      <c r="E30" s="209"/>
      <c r="F30" s="39"/>
      <c r="G30" s="40"/>
      <c r="H30" s="200"/>
      <c r="I30" s="200">
        <v>2017</v>
      </c>
      <c r="J30" s="200">
        <v>1473695.6521739131</v>
      </c>
      <c r="K30" s="200">
        <f>(1+$B$20)^2</f>
        <v>1.1025</v>
      </c>
      <c r="L30" s="223">
        <f>K14</f>
        <v>2100000</v>
      </c>
      <c r="M30" s="248">
        <f t="shared" si="6"/>
        <v>1.053169259345252</v>
      </c>
      <c r="N30" s="200">
        <f>(1+$B$21)^2</f>
        <v>1.0404</v>
      </c>
      <c r="O30" s="200"/>
      <c r="P30" s="200">
        <f t="shared" si="7"/>
        <v>2301006.3245878806</v>
      </c>
      <c r="Q30" s="200">
        <f t="shared" si="8"/>
        <v>1624749.4565217393</v>
      </c>
      <c r="R30" s="200"/>
      <c r="S30" s="200">
        <f t="shared" si="9"/>
        <v>0.70610386384432833</v>
      </c>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row>
    <row r="31" spans="1:699" ht="15.75" customHeight="1" x14ac:dyDescent="0.2">
      <c r="A31" s="42"/>
      <c r="B31" s="88" t="s">
        <v>218</v>
      </c>
      <c r="C31" s="39"/>
      <c r="D31" s="39"/>
      <c r="E31" s="39"/>
      <c r="F31" s="39"/>
      <c r="G31" s="40"/>
      <c r="H31" s="200"/>
      <c r="I31" s="200"/>
      <c r="J31" s="200"/>
      <c r="K31" s="200"/>
      <c r="L31" s="200"/>
      <c r="M31" s="200"/>
      <c r="N31" s="200"/>
      <c r="O31" s="200"/>
      <c r="P31" s="200"/>
      <c r="Q31" s="200"/>
      <c r="R31" s="200" t="s">
        <v>200</v>
      </c>
      <c r="S31" s="200">
        <f>AVERAGE(S28:S30)</f>
        <v>0.66295819638770614</v>
      </c>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row>
    <row r="32" spans="1:699" ht="15.75" customHeight="1" x14ac:dyDescent="0.2">
      <c r="A32" s="42"/>
      <c r="B32" s="88" t="s">
        <v>219</v>
      </c>
      <c r="C32" s="39"/>
      <c r="D32" s="39"/>
      <c r="E32" s="39"/>
      <c r="F32" s="39"/>
      <c r="G32" s="40"/>
      <c r="H32" s="200"/>
      <c r="I32" s="200"/>
      <c r="J32" s="200" t="s">
        <v>220</v>
      </c>
      <c r="K32" s="200"/>
      <c r="L32" s="200"/>
      <c r="M32" s="200"/>
      <c r="N32" s="200"/>
      <c r="O32" s="200"/>
      <c r="P32" s="200"/>
      <c r="Q32" s="200"/>
      <c r="R32" s="200" t="s">
        <v>221</v>
      </c>
      <c r="S32" s="253">
        <v>0.66300000000000003</v>
      </c>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row>
    <row r="33" spans="1:699" ht="15.75" customHeight="1" x14ac:dyDescent="0.2">
      <c r="A33" s="42"/>
      <c r="B33" s="88" t="s">
        <v>222</v>
      </c>
      <c r="C33" s="39"/>
      <c r="D33" s="39"/>
      <c r="E33" s="39"/>
      <c r="F33" s="39"/>
      <c r="G33" s="40"/>
      <c r="H33" s="200"/>
      <c r="I33" s="200"/>
      <c r="J33" s="200" t="s">
        <v>223</v>
      </c>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row>
    <row r="34" spans="1:699" s="82" customFormat="1" ht="15.75" customHeight="1" x14ac:dyDescent="0.2">
      <c r="A34" s="42"/>
      <c r="B34" s="88"/>
      <c r="C34" s="39"/>
      <c r="D34" s="39"/>
      <c r="E34" s="39"/>
      <c r="F34" s="39"/>
      <c r="G34" s="4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1"/>
      <c r="GA34" s="201"/>
      <c r="GB34" s="201"/>
      <c r="GC34" s="201"/>
      <c r="GD34" s="201"/>
      <c r="GE34" s="201"/>
      <c r="GF34" s="201"/>
      <c r="GG34" s="201"/>
      <c r="GH34" s="201"/>
      <c r="GI34" s="201"/>
      <c r="GJ34" s="201"/>
      <c r="GK34" s="201"/>
      <c r="GL34" s="201"/>
      <c r="GM34" s="201"/>
      <c r="GN34" s="201"/>
      <c r="GO34" s="201"/>
      <c r="GP34" s="201"/>
      <c r="GQ34" s="201"/>
      <c r="GR34" s="201"/>
      <c r="GS34" s="201"/>
      <c r="GT34" s="201"/>
      <c r="GU34" s="201"/>
      <c r="GV34" s="201"/>
      <c r="GW34" s="201"/>
      <c r="GX34" s="201"/>
      <c r="GY34" s="201"/>
      <c r="GZ34" s="201"/>
      <c r="HA34" s="201"/>
      <c r="HB34" s="201"/>
      <c r="HC34" s="201"/>
      <c r="HD34" s="201"/>
      <c r="HE34" s="201"/>
      <c r="HF34" s="201"/>
      <c r="HG34" s="201"/>
      <c r="HH34" s="201"/>
      <c r="HI34" s="201"/>
      <c r="HJ34" s="201"/>
      <c r="HK34" s="201"/>
      <c r="HL34" s="201"/>
      <c r="HM34" s="201"/>
      <c r="HN34" s="201"/>
      <c r="HO34" s="201"/>
      <c r="HP34" s="201"/>
      <c r="HQ34" s="201"/>
      <c r="HR34" s="201"/>
      <c r="HS34" s="201"/>
      <c r="HT34" s="201"/>
      <c r="HU34" s="201"/>
      <c r="HV34" s="201"/>
      <c r="HW34" s="201"/>
      <c r="HX34" s="201"/>
      <c r="HY34" s="201"/>
      <c r="HZ34" s="201"/>
      <c r="IA34" s="201"/>
      <c r="IB34" s="201"/>
      <c r="IC34" s="201"/>
      <c r="ID34" s="201"/>
      <c r="IE34" s="201"/>
      <c r="IF34" s="201"/>
      <c r="IG34" s="201"/>
      <c r="IH34" s="201"/>
      <c r="II34" s="201"/>
      <c r="IJ34" s="201"/>
      <c r="IK34" s="201"/>
      <c r="IL34" s="201"/>
      <c r="IM34" s="201"/>
      <c r="IN34" s="201"/>
      <c r="IO34" s="201"/>
      <c r="IP34" s="201"/>
      <c r="IQ34" s="201"/>
      <c r="IR34" s="201"/>
      <c r="IS34" s="201"/>
      <c r="IT34" s="201"/>
      <c r="IU34" s="201"/>
      <c r="IV34" s="201"/>
      <c r="IW34" s="201"/>
      <c r="IX34" s="201"/>
      <c r="IY34" s="201"/>
      <c r="IZ34" s="201"/>
      <c r="JA34" s="201"/>
      <c r="JB34" s="201"/>
      <c r="JC34" s="201"/>
      <c r="JD34" s="201"/>
      <c r="JE34" s="201"/>
      <c r="JF34" s="201"/>
      <c r="JG34" s="201"/>
      <c r="JH34" s="201"/>
      <c r="JI34" s="201"/>
      <c r="JJ34" s="201"/>
      <c r="JK34" s="201"/>
      <c r="JL34" s="201"/>
      <c r="JM34" s="201"/>
      <c r="JN34" s="201"/>
      <c r="JO34" s="201"/>
      <c r="JP34" s="201"/>
      <c r="JQ34" s="201"/>
      <c r="JR34" s="201"/>
      <c r="JS34" s="201"/>
      <c r="JT34" s="201"/>
      <c r="JU34" s="201"/>
      <c r="JV34" s="201"/>
      <c r="JW34" s="201"/>
      <c r="JX34" s="201"/>
      <c r="JY34" s="201"/>
      <c r="JZ34" s="201"/>
      <c r="KA34" s="201"/>
      <c r="KB34" s="201"/>
      <c r="KC34" s="201"/>
      <c r="KD34" s="201"/>
      <c r="KE34" s="201"/>
      <c r="KF34" s="201"/>
      <c r="KG34" s="201"/>
      <c r="KH34" s="201"/>
      <c r="KI34" s="201"/>
      <c r="KJ34" s="201"/>
      <c r="KK34" s="201"/>
      <c r="KL34" s="201"/>
      <c r="KM34" s="201"/>
      <c r="KN34" s="201"/>
      <c r="KO34" s="201"/>
      <c r="KP34" s="201"/>
      <c r="KQ34" s="201"/>
      <c r="KR34" s="201"/>
      <c r="KS34" s="201"/>
      <c r="KT34" s="201"/>
      <c r="KU34" s="201"/>
      <c r="KV34" s="201"/>
      <c r="KW34" s="201"/>
      <c r="KX34" s="201"/>
      <c r="KY34" s="201"/>
      <c r="KZ34" s="201"/>
      <c r="LA34" s="201"/>
      <c r="LB34" s="201"/>
      <c r="LC34" s="201"/>
      <c r="LD34" s="201"/>
      <c r="LE34" s="201"/>
      <c r="LF34" s="201"/>
      <c r="LG34" s="201"/>
      <c r="LH34" s="201"/>
      <c r="LI34" s="201"/>
      <c r="LJ34" s="201"/>
      <c r="LK34" s="201"/>
      <c r="LL34" s="201"/>
      <c r="LM34" s="201"/>
      <c r="LN34" s="201"/>
      <c r="LO34" s="201"/>
      <c r="LP34" s="201"/>
      <c r="LQ34" s="201"/>
      <c r="LR34" s="201"/>
      <c r="LS34" s="201"/>
      <c r="LT34" s="201"/>
      <c r="LU34" s="201"/>
      <c r="LV34" s="201"/>
      <c r="LW34" s="201"/>
      <c r="LX34" s="201"/>
      <c r="LY34" s="201"/>
      <c r="LZ34" s="201"/>
      <c r="MA34" s="201"/>
      <c r="MB34" s="201"/>
      <c r="MC34" s="201"/>
      <c r="MD34" s="201"/>
      <c r="ME34" s="201"/>
      <c r="MF34" s="201"/>
      <c r="MG34" s="201"/>
      <c r="MH34" s="201"/>
      <c r="MI34" s="201"/>
      <c r="MJ34" s="201"/>
      <c r="MK34" s="201"/>
      <c r="ML34" s="201"/>
      <c r="MM34" s="201"/>
      <c r="MN34" s="201"/>
      <c r="MO34" s="201"/>
      <c r="MP34" s="201"/>
      <c r="MQ34" s="201"/>
      <c r="MR34" s="201"/>
      <c r="MS34" s="201"/>
      <c r="MT34" s="201"/>
      <c r="MU34" s="201"/>
      <c r="MV34" s="201"/>
      <c r="MW34" s="201"/>
      <c r="MX34" s="201"/>
      <c r="MY34" s="201"/>
      <c r="MZ34" s="201"/>
      <c r="NA34" s="201"/>
      <c r="NB34" s="201"/>
      <c r="NC34" s="201"/>
      <c r="ND34" s="201"/>
      <c r="NE34" s="201"/>
      <c r="NF34" s="201"/>
      <c r="NG34" s="201"/>
      <c r="NH34" s="201"/>
      <c r="NI34" s="201"/>
      <c r="NJ34" s="201"/>
      <c r="NK34" s="201"/>
      <c r="NL34" s="201"/>
      <c r="NM34" s="201"/>
      <c r="NN34" s="201"/>
      <c r="NO34" s="201"/>
      <c r="NP34" s="201"/>
      <c r="NQ34" s="201"/>
      <c r="NR34" s="201"/>
      <c r="NS34" s="201"/>
      <c r="NT34" s="201"/>
      <c r="NU34" s="201"/>
      <c r="NV34" s="201"/>
      <c r="NW34" s="201"/>
      <c r="NX34" s="201"/>
      <c r="NY34" s="201"/>
      <c r="NZ34" s="201"/>
      <c r="OA34" s="201"/>
      <c r="OB34" s="201"/>
      <c r="OC34" s="201"/>
      <c r="OD34" s="201"/>
      <c r="OE34" s="201"/>
      <c r="OF34" s="201"/>
      <c r="OG34" s="201"/>
      <c r="OH34" s="201"/>
      <c r="OI34" s="201"/>
      <c r="OJ34" s="201"/>
      <c r="OK34" s="201"/>
      <c r="OL34" s="201"/>
      <c r="OM34" s="201"/>
      <c r="ON34" s="201"/>
      <c r="OO34" s="201"/>
      <c r="OP34" s="201"/>
      <c r="OQ34" s="201"/>
      <c r="OR34" s="201"/>
      <c r="OS34" s="201"/>
      <c r="OT34" s="201"/>
      <c r="OU34" s="201"/>
      <c r="OV34" s="201"/>
      <c r="OW34" s="201"/>
      <c r="OX34" s="201"/>
      <c r="OY34" s="201"/>
      <c r="OZ34" s="201"/>
      <c r="PA34" s="201"/>
      <c r="PB34" s="201"/>
      <c r="PC34" s="201"/>
      <c r="PD34" s="201"/>
      <c r="PE34" s="201"/>
      <c r="PF34" s="201"/>
      <c r="PG34" s="201"/>
      <c r="PH34" s="201"/>
      <c r="PI34" s="201"/>
      <c r="PJ34" s="201"/>
      <c r="PK34" s="201"/>
      <c r="PL34" s="201"/>
      <c r="PM34" s="201"/>
      <c r="PN34" s="201"/>
      <c r="PO34" s="201"/>
      <c r="PP34" s="201"/>
      <c r="PQ34" s="201"/>
      <c r="PR34" s="201"/>
      <c r="PS34" s="201"/>
      <c r="PT34" s="201"/>
      <c r="PU34" s="201"/>
      <c r="PV34" s="201"/>
      <c r="PW34" s="201"/>
      <c r="PX34" s="201"/>
      <c r="PY34" s="201"/>
      <c r="PZ34" s="201"/>
      <c r="QA34" s="201"/>
      <c r="QB34" s="201"/>
      <c r="QC34" s="201"/>
      <c r="QD34" s="201"/>
      <c r="QE34" s="201"/>
      <c r="QF34" s="201"/>
      <c r="QG34" s="201"/>
      <c r="QH34" s="201"/>
      <c r="QI34" s="201"/>
      <c r="QJ34" s="201"/>
      <c r="QK34" s="201"/>
      <c r="QL34" s="201"/>
      <c r="QM34" s="201"/>
      <c r="QN34" s="201"/>
      <c r="QO34" s="201"/>
      <c r="QP34" s="201"/>
      <c r="QQ34" s="201"/>
      <c r="QR34" s="201"/>
      <c r="QS34" s="201"/>
      <c r="QT34" s="201"/>
      <c r="QU34" s="201"/>
      <c r="QV34" s="201"/>
      <c r="QW34" s="201"/>
      <c r="QX34" s="201"/>
      <c r="QY34" s="201"/>
      <c r="QZ34" s="201"/>
      <c r="RA34" s="201"/>
      <c r="RB34" s="201"/>
      <c r="RC34" s="201"/>
      <c r="RD34" s="201"/>
      <c r="RE34" s="201"/>
      <c r="RF34" s="201"/>
      <c r="RG34" s="201"/>
      <c r="RH34" s="201"/>
      <c r="RI34" s="201"/>
      <c r="RJ34" s="201"/>
      <c r="RK34" s="201"/>
      <c r="RL34" s="201"/>
      <c r="RM34" s="201"/>
      <c r="RN34" s="201"/>
      <c r="RO34" s="201"/>
      <c r="RP34" s="201"/>
      <c r="RQ34" s="201"/>
      <c r="RR34" s="201"/>
      <c r="RS34" s="201"/>
      <c r="RT34" s="201"/>
      <c r="RU34" s="201"/>
      <c r="RV34" s="201"/>
      <c r="RW34" s="201"/>
      <c r="RX34" s="201"/>
      <c r="RY34" s="201"/>
      <c r="RZ34" s="201"/>
      <c r="SA34" s="201"/>
      <c r="SB34" s="201"/>
      <c r="SC34" s="201"/>
      <c r="SD34" s="201"/>
      <c r="SE34" s="201"/>
      <c r="SF34" s="201"/>
      <c r="SG34" s="201"/>
      <c r="SH34" s="201"/>
      <c r="SI34" s="201"/>
      <c r="SJ34" s="201"/>
      <c r="SK34" s="201"/>
      <c r="SL34" s="201"/>
      <c r="SM34" s="201"/>
      <c r="SN34" s="201"/>
      <c r="SO34" s="201"/>
      <c r="SP34" s="201"/>
      <c r="SQ34" s="201"/>
      <c r="SR34" s="201"/>
      <c r="SS34" s="201"/>
      <c r="ST34" s="201"/>
      <c r="SU34" s="201"/>
      <c r="SV34" s="201"/>
      <c r="SW34" s="201"/>
      <c r="SX34" s="201"/>
      <c r="SY34" s="201"/>
      <c r="SZ34" s="201"/>
      <c r="TA34" s="201"/>
      <c r="TB34" s="201"/>
      <c r="TC34" s="201"/>
      <c r="TD34" s="201"/>
      <c r="TE34" s="201"/>
      <c r="TF34" s="201"/>
      <c r="TG34" s="201"/>
      <c r="TH34" s="201"/>
      <c r="TI34" s="201"/>
      <c r="TJ34" s="201"/>
      <c r="TK34" s="201"/>
      <c r="TL34" s="201"/>
      <c r="TM34" s="201"/>
      <c r="TN34" s="201"/>
      <c r="TO34" s="201"/>
      <c r="TP34" s="201"/>
      <c r="TQ34" s="201"/>
      <c r="TR34" s="201"/>
      <c r="TS34" s="201"/>
      <c r="TT34" s="201"/>
      <c r="TU34" s="201"/>
      <c r="TV34" s="201"/>
      <c r="TW34" s="201"/>
      <c r="TX34" s="201"/>
      <c r="TY34" s="201"/>
      <c r="TZ34" s="201"/>
      <c r="UA34" s="201"/>
      <c r="UB34" s="201"/>
      <c r="UC34" s="201"/>
      <c r="UD34" s="201"/>
      <c r="UE34" s="201"/>
      <c r="UF34" s="201"/>
      <c r="UG34" s="201"/>
      <c r="UH34" s="201"/>
      <c r="UI34" s="201"/>
      <c r="UJ34" s="201"/>
      <c r="UK34" s="201"/>
      <c r="UL34" s="201"/>
      <c r="UM34" s="201"/>
      <c r="UN34" s="201"/>
      <c r="UO34" s="201"/>
      <c r="UP34" s="201"/>
      <c r="UQ34" s="201"/>
      <c r="UR34" s="201"/>
      <c r="US34" s="201"/>
      <c r="UT34" s="201"/>
      <c r="UU34" s="201"/>
      <c r="UV34" s="201"/>
      <c r="UW34" s="201"/>
      <c r="UX34" s="201"/>
      <c r="UY34" s="201"/>
      <c r="UZ34" s="201"/>
      <c r="VA34" s="201"/>
      <c r="VB34" s="201"/>
      <c r="VC34" s="201"/>
      <c r="VD34" s="201"/>
      <c r="VE34" s="201"/>
      <c r="VF34" s="201"/>
      <c r="VG34" s="201"/>
      <c r="VH34" s="201"/>
      <c r="VI34" s="201"/>
      <c r="VJ34" s="201"/>
      <c r="VK34" s="201"/>
      <c r="VL34" s="201"/>
      <c r="VM34" s="201"/>
      <c r="VN34" s="201"/>
      <c r="VO34" s="201"/>
      <c r="VP34" s="201"/>
      <c r="VQ34" s="201"/>
      <c r="VR34" s="201"/>
      <c r="VS34" s="201"/>
      <c r="VT34" s="201"/>
      <c r="VU34" s="201"/>
      <c r="VV34" s="201"/>
      <c r="VW34" s="201"/>
      <c r="VX34" s="201"/>
      <c r="VY34" s="201"/>
      <c r="VZ34" s="201"/>
      <c r="WA34" s="201"/>
      <c r="WB34" s="201"/>
      <c r="WC34" s="201"/>
      <c r="WD34" s="201"/>
      <c r="WE34" s="201"/>
      <c r="WF34" s="201"/>
      <c r="WG34" s="201"/>
      <c r="WH34" s="201"/>
      <c r="WI34" s="201"/>
      <c r="WJ34" s="201"/>
      <c r="WK34" s="201"/>
      <c r="WL34" s="201"/>
      <c r="WM34" s="201"/>
      <c r="WN34" s="201"/>
      <c r="WO34" s="201"/>
      <c r="WP34" s="201"/>
      <c r="WQ34" s="201"/>
      <c r="WR34" s="201"/>
      <c r="WS34" s="201"/>
      <c r="WT34" s="201"/>
      <c r="WU34" s="201"/>
      <c r="WV34" s="201"/>
      <c r="WW34" s="201"/>
      <c r="WX34" s="201"/>
      <c r="WY34" s="201"/>
      <c r="WZ34" s="201"/>
      <c r="XA34" s="201"/>
      <c r="XB34" s="201"/>
      <c r="XC34" s="201"/>
      <c r="XD34" s="201"/>
      <c r="XE34" s="201"/>
      <c r="XF34" s="201"/>
      <c r="XG34" s="201"/>
      <c r="XH34" s="201"/>
      <c r="XI34" s="201"/>
      <c r="XJ34" s="201"/>
      <c r="XK34" s="201"/>
      <c r="XL34" s="201"/>
      <c r="XM34" s="201"/>
      <c r="XN34" s="201"/>
      <c r="XO34" s="201"/>
      <c r="XP34" s="201"/>
      <c r="XQ34" s="201"/>
      <c r="XR34" s="201"/>
      <c r="XS34" s="201"/>
      <c r="XT34" s="201"/>
      <c r="XU34" s="201"/>
      <c r="XV34" s="201"/>
      <c r="XW34" s="201"/>
      <c r="XX34" s="201"/>
      <c r="XY34" s="201"/>
      <c r="XZ34" s="201"/>
      <c r="YA34" s="201"/>
      <c r="YB34" s="201"/>
      <c r="YC34" s="201"/>
      <c r="YD34" s="201"/>
      <c r="YE34" s="201"/>
      <c r="YF34" s="201"/>
      <c r="YG34" s="201"/>
      <c r="YH34" s="201"/>
      <c r="YI34" s="201"/>
      <c r="YJ34" s="201"/>
      <c r="YK34" s="201"/>
      <c r="YL34" s="201"/>
      <c r="YM34" s="201"/>
      <c r="YN34" s="201"/>
      <c r="YO34" s="201"/>
      <c r="YP34" s="201"/>
      <c r="YQ34" s="201"/>
      <c r="YR34" s="201"/>
      <c r="YS34" s="201"/>
      <c r="YT34" s="201"/>
      <c r="YU34" s="201"/>
      <c r="YV34" s="201"/>
      <c r="YW34" s="201"/>
      <c r="YX34" s="201"/>
      <c r="YY34" s="201"/>
      <c r="YZ34" s="201"/>
      <c r="ZA34" s="201"/>
      <c r="ZB34" s="201"/>
      <c r="ZC34" s="201"/>
      <c r="ZD34" s="201"/>
      <c r="ZE34" s="201"/>
      <c r="ZF34" s="201"/>
      <c r="ZG34" s="201"/>
      <c r="ZH34" s="201"/>
      <c r="ZI34" s="201"/>
      <c r="ZJ34" s="201"/>
      <c r="ZK34" s="201"/>
      <c r="ZL34" s="201"/>
      <c r="ZM34" s="201"/>
      <c r="ZN34" s="201"/>
      <c r="ZO34" s="201"/>
      <c r="ZP34" s="201"/>
      <c r="ZQ34" s="201"/>
      <c r="ZR34" s="201"/>
      <c r="ZS34" s="201"/>
      <c r="ZT34" s="201"/>
      <c r="ZU34" s="201"/>
      <c r="ZV34" s="201"/>
      <c r="ZW34" s="201"/>
    </row>
    <row r="35" spans="1:699" s="82" customFormat="1" ht="15.75" customHeight="1" x14ac:dyDescent="0.2">
      <c r="A35" s="42">
        <v>1</v>
      </c>
      <c r="B35" s="39" t="s">
        <v>46</v>
      </c>
      <c r="C35" s="39"/>
      <c r="D35" s="39"/>
      <c r="E35" s="39"/>
      <c r="F35" s="39"/>
      <c r="G35" s="40"/>
      <c r="H35" s="200"/>
      <c r="I35" s="200"/>
      <c r="J35" s="200" t="s">
        <v>224</v>
      </c>
      <c r="K35" s="200"/>
      <c r="L35" s="200" t="s">
        <v>225</v>
      </c>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1"/>
      <c r="GA35" s="201"/>
      <c r="GB35" s="201"/>
      <c r="GC35" s="201"/>
      <c r="GD35" s="201"/>
      <c r="GE35" s="201"/>
      <c r="GF35" s="201"/>
      <c r="GG35" s="201"/>
      <c r="GH35" s="201"/>
      <c r="GI35" s="201"/>
      <c r="GJ35" s="201"/>
      <c r="GK35" s="201"/>
      <c r="GL35" s="201"/>
      <c r="GM35" s="201"/>
      <c r="GN35" s="201"/>
      <c r="GO35" s="201"/>
      <c r="GP35" s="201"/>
      <c r="GQ35" s="201"/>
      <c r="GR35" s="201"/>
      <c r="GS35" s="201"/>
      <c r="GT35" s="201"/>
      <c r="GU35" s="201"/>
      <c r="GV35" s="201"/>
      <c r="GW35" s="201"/>
      <c r="GX35" s="201"/>
      <c r="GY35" s="201"/>
      <c r="GZ35" s="201"/>
      <c r="HA35" s="201"/>
      <c r="HB35" s="201"/>
      <c r="HC35" s="201"/>
      <c r="HD35" s="201"/>
      <c r="HE35" s="201"/>
      <c r="HF35" s="201"/>
      <c r="HG35" s="201"/>
      <c r="HH35" s="201"/>
      <c r="HI35" s="201"/>
      <c r="HJ35" s="201"/>
      <c r="HK35" s="201"/>
      <c r="HL35" s="201"/>
      <c r="HM35" s="201"/>
      <c r="HN35" s="201"/>
      <c r="HO35" s="201"/>
      <c r="HP35" s="201"/>
      <c r="HQ35" s="201"/>
      <c r="HR35" s="201"/>
      <c r="HS35" s="201"/>
      <c r="HT35" s="201"/>
      <c r="HU35" s="201"/>
      <c r="HV35" s="201"/>
      <c r="HW35" s="201"/>
      <c r="HX35" s="201"/>
      <c r="HY35" s="201"/>
      <c r="HZ35" s="201"/>
      <c r="IA35" s="201"/>
      <c r="IB35" s="201"/>
      <c r="IC35" s="201"/>
      <c r="ID35" s="201"/>
      <c r="IE35" s="201"/>
      <c r="IF35" s="201"/>
      <c r="IG35" s="201"/>
      <c r="IH35" s="201"/>
      <c r="II35" s="201"/>
      <c r="IJ35" s="201"/>
      <c r="IK35" s="201"/>
      <c r="IL35" s="201"/>
      <c r="IM35" s="201"/>
      <c r="IN35" s="201"/>
      <c r="IO35" s="201"/>
      <c r="IP35" s="201"/>
      <c r="IQ35" s="201"/>
      <c r="IR35" s="201"/>
      <c r="IS35" s="201"/>
      <c r="IT35" s="201"/>
      <c r="IU35" s="201"/>
      <c r="IV35" s="201"/>
      <c r="IW35" s="201"/>
      <c r="IX35" s="201"/>
      <c r="IY35" s="201"/>
      <c r="IZ35" s="201"/>
      <c r="JA35" s="201"/>
      <c r="JB35" s="201"/>
      <c r="JC35" s="201"/>
      <c r="JD35" s="201"/>
      <c r="JE35" s="201"/>
      <c r="JF35" s="201"/>
      <c r="JG35" s="201"/>
      <c r="JH35" s="201"/>
      <c r="JI35" s="201"/>
      <c r="JJ35" s="201"/>
      <c r="JK35" s="201"/>
      <c r="JL35" s="201"/>
      <c r="JM35" s="201"/>
      <c r="JN35" s="201"/>
      <c r="JO35" s="201"/>
      <c r="JP35" s="201"/>
      <c r="JQ35" s="201"/>
      <c r="JR35" s="201"/>
      <c r="JS35" s="201"/>
      <c r="JT35" s="201"/>
      <c r="JU35" s="201"/>
      <c r="JV35" s="201"/>
      <c r="JW35" s="201"/>
      <c r="JX35" s="201"/>
      <c r="JY35" s="201"/>
      <c r="JZ35" s="201"/>
      <c r="KA35" s="201"/>
      <c r="KB35" s="201"/>
      <c r="KC35" s="201"/>
      <c r="KD35" s="201"/>
      <c r="KE35" s="201"/>
      <c r="KF35" s="201"/>
      <c r="KG35" s="201"/>
      <c r="KH35" s="201"/>
      <c r="KI35" s="201"/>
      <c r="KJ35" s="201"/>
      <c r="KK35" s="201"/>
      <c r="KL35" s="201"/>
      <c r="KM35" s="201"/>
      <c r="KN35" s="201"/>
      <c r="KO35" s="201"/>
      <c r="KP35" s="201"/>
      <c r="KQ35" s="201"/>
      <c r="KR35" s="201"/>
      <c r="KS35" s="201"/>
      <c r="KT35" s="201"/>
      <c r="KU35" s="201"/>
      <c r="KV35" s="201"/>
      <c r="KW35" s="201"/>
      <c r="KX35" s="201"/>
      <c r="KY35" s="201"/>
      <c r="KZ35" s="201"/>
      <c r="LA35" s="201"/>
      <c r="LB35" s="201"/>
      <c r="LC35" s="201"/>
      <c r="LD35" s="201"/>
      <c r="LE35" s="201"/>
      <c r="LF35" s="201"/>
      <c r="LG35" s="201"/>
      <c r="LH35" s="201"/>
      <c r="LI35" s="201"/>
      <c r="LJ35" s="201"/>
      <c r="LK35" s="201"/>
      <c r="LL35" s="201"/>
      <c r="LM35" s="201"/>
      <c r="LN35" s="201"/>
      <c r="LO35" s="201"/>
      <c r="LP35" s="201"/>
      <c r="LQ35" s="201"/>
      <c r="LR35" s="201"/>
      <c r="LS35" s="201"/>
      <c r="LT35" s="201"/>
      <c r="LU35" s="201"/>
      <c r="LV35" s="201"/>
      <c r="LW35" s="201"/>
      <c r="LX35" s="201"/>
      <c r="LY35" s="201"/>
      <c r="LZ35" s="201"/>
      <c r="MA35" s="201"/>
      <c r="MB35" s="201"/>
      <c r="MC35" s="201"/>
      <c r="MD35" s="201"/>
      <c r="ME35" s="201"/>
      <c r="MF35" s="201"/>
      <c r="MG35" s="201"/>
      <c r="MH35" s="201"/>
      <c r="MI35" s="201"/>
      <c r="MJ35" s="201"/>
      <c r="MK35" s="201"/>
      <c r="ML35" s="201"/>
      <c r="MM35" s="201"/>
      <c r="MN35" s="201"/>
      <c r="MO35" s="201"/>
      <c r="MP35" s="201"/>
      <c r="MQ35" s="201"/>
      <c r="MR35" s="201"/>
      <c r="MS35" s="201"/>
      <c r="MT35" s="201"/>
      <c r="MU35" s="201"/>
      <c r="MV35" s="201"/>
      <c r="MW35" s="201"/>
      <c r="MX35" s="201"/>
      <c r="MY35" s="201"/>
      <c r="MZ35" s="201"/>
      <c r="NA35" s="201"/>
      <c r="NB35" s="201"/>
      <c r="NC35" s="201"/>
      <c r="ND35" s="201"/>
      <c r="NE35" s="201"/>
      <c r="NF35" s="201"/>
      <c r="NG35" s="201"/>
      <c r="NH35" s="201"/>
      <c r="NI35" s="201"/>
      <c r="NJ35" s="201"/>
      <c r="NK35" s="201"/>
      <c r="NL35" s="201"/>
      <c r="NM35" s="201"/>
      <c r="NN35" s="201"/>
      <c r="NO35" s="201"/>
      <c r="NP35" s="201"/>
      <c r="NQ35" s="201"/>
      <c r="NR35" s="201"/>
      <c r="NS35" s="201"/>
      <c r="NT35" s="201"/>
      <c r="NU35" s="201"/>
      <c r="NV35" s="201"/>
      <c r="NW35" s="201"/>
      <c r="NX35" s="201"/>
      <c r="NY35" s="201"/>
      <c r="NZ35" s="201"/>
      <c r="OA35" s="201"/>
      <c r="OB35" s="201"/>
      <c r="OC35" s="201"/>
      <c r="OD35" s="201"/>
      <c r="OE35" s="201"/>
      <c r="OF35" s="201"/>
      <c r="OG35" s="201"/>
      <c r="OH35" s="201"/>
      <c r="OI35" s="201"/>
      <c r="OJ35" s="201"/>
      <c r="OK35" s="201"/>
      <c r="OL35" s="201"/>
      <c r="OM35" s="201"/>
      <c r="ON35" s="201"/>
      <c r="OO35" s="201"/>
      <c r="OP35" s="201"/>
      <c r="OQ35" s="201"/>
      <c r="OR35" s="201"/>
      <c r="OS35" s="201"/>
      <c r="OT35" s="201"/>
      <c r="OU35" s="201"/>
      <c r="OV35" s="201"/>
      <c r="OW35" s="201"/>
      <c r="OX35" s="201"/>
      <c r="OY35" s="201"/>
      <c r="OZ35" s="201"/>
      <c r="PA35" s="201"/>
      <c r="PB35" s="201"/>
      <c r="PC35" s="201"/>
      <c r="PD35" s="201"/>
      <c r="PE35" s="201"/>
      <c r="PF35" s="201"/>
      <c r="PG35" s="201"/>
      <c r="PH35" s="201"/>
      <c r="PI35" s="201"/>
      <c r="PJ35" s="201"/>
      <c r="PK35" s="201"/>
      <c r="PL35" s="201"/>
      <c r="PM35" s="201"/>
      <c r="PN35" s="201"/>
      <c r="PO35" s="201"/>
      <c r="PP35" s="201"/>
      <c r="PQ35" s="201"/>
      <c r="PR35" s="201"/>
      <c r="PS35" s="201"/>
      <c r="PT35" s="201"/>
      <c r="PU35" s="201"/>
      <c r="PV35" s="201"/>
      <c r="PW35" s="201"/>
      <c r="PX35" s="201"/>
      <c r="PY35" s="201"/>
      <c r="PZ35" s="201"/>
      <c r="QA35" s="201"/>
      <c r="QB35" s="201"/>
      <c r="QC35" s="201"/>
      <c r="QD35" s="201"/>
      <c r="QE35" s="201"/>
      <c r="QF35" s="201"/>
      <c r="QG35" s="201"/>
      <c r="QH35" s="201"/>
      <c r="QI35" s="201"/>
      <c r="QJ35" s="201"/>
      <c r="QK35" s="201"/>
      <c r="QL35" s="201"/>
      <c r="QM35" s="201"/>
      <c r="QN35" s="201"/>
      <c r="QO35" s="201"/>
      <c r="QP35" s="201"/>
      <c r="QQ35" s="201"/>
      <c r="QR35" s="201"/>
      <c r="QS35" s="201"/>
      <c r="QT35" s="201"/>
      <c r="QU35" s="201"/>
      <c r="QV35" s="201"/>
      <c r="QW35" s="201"/>
      <c r="QX35" s="201"/>
      <c r="QY35" s="201"/>
      <c r="QZ35" s="201"/>
      <c r="RA35" s="201"/>
      <c r="RB35" s="201"/>
      <c r="RC35" s="201"/>
      <c r="RD35" s="201"/>
      <c r="RE35" s="201"/>
      <c r="RF35" s="201"/>
      <c r="RG35" s="201"/>
      <c r="RH35" s="201"/>
      <c r="RI35" s="201"/>
      <c r="RJ35" s="201"/>
      <c r="RK35" s="201"/>
      <c r="RL35" s="201"/>
      <c r="RM35" s="201"/>
      <c r="RN35" s="201"/>
      <c r="RO35" s="201"/>
      <c r="RP35" s="201"/>
      <c r="RQ35" s="201"/>
      <c r="RR35" s="201"/>
      <c r="RS35" s="201"/>
      <c r="RT35" s="201"/>
      <c r="RU35" s="201"/>
      <c r="RV35" s="201"/>
      <c r="RW35" s="201"/>
      <c r="RX35" s="201"/>
      <c r="RY35" s="201"/>
      <c r="RZ35" s="201"/>
      <c r="SA35" s="201"/>
      <c r="SB35" s="201"/>
      <c r="SC35" s="201"/>
      <c r="SD35" s="201"/>
      <c r="SE35" s="201"/>
      <c r="SF35" s="201"/>
      <c r="SG35" s="201"/>
      <c r="SH35" s="201"/>
      <c r="SI35" s="201"/>
      <c r="SJ35" s="201"/>
      <c r="SK35" s="201"/>
      <c r="SL35" s="201"/>
      <c r="SM35" s="201"/>
      <c r="SN35" s="201"/>
      <c r="SO35" s="201"/>
      <c r="SP35" s="201"/>
      <c r="SQ35" s="201"/>
      <c r="SR35" s="201"/>
      <c r="SS35" s="201"/>
      <c r="ST35" s="201"/>
      <c r="SU35" s="201"/>
      <c r="SV35" s="201"/>
      <c r="SW35" s="201"/>
      <c r="SX35" s="201"/>
      <c r="SY35" s="201"/>
      <c r="SZ35" s="201"/>
      <c r="TA35" s="201"/>
      <c r="TB35" s="201"/>
      <c r="TC35" s="201"/>
      <c r="TD35" s="201"/>
      <c r="TE35" s="201"/>
      <c r="TF35" s="201"/>
      <c r="TG35" s="201"/>
      <c r="TH35" s="201"/>
      <c r="TI35" s="201"/>
      <c r="TJ35" s="201"/>
      <c r="TK35" s="201"/>
      <c r="TL35" s="201"/>
      <c r="TM35" s="201"/>
      <c r="TN35" s="201"/>
      <c r="TO35" s="201"/>
      <c r="TP35" s="201"/>
      <c r="TQ35" s="201"/>
      <c r="TR35" s="201"/>
      <c r="TS35" s="201"/>
      <c r="TT35" s="201"/>
      <c r="TU35" s="201"/>
      <c r="TV35" s="201"/>
      <c r="TW35" s="201"/>
      <c r="TX35" s="201"/>
      <c r="TY35" s="201"/>
      <c r="TZ35" s="201"/>
      <c r="UA35" s="201"/>
      <c r="UB35" s="201"/>
      <c r="UC35" s="201"/>
      <c r="UD35" s="201"/>
      <c r="UE35" s="201"/>
      <c r="UF35" s="201"/>
      <c r="UG35" s="201"/>
      <c r="UH35" s="201"/>
      <c r="UI35" s="201"/>
      <c r="UJ35" s="201"/>
      <c r="UK35" s="201"/>
      <c r="UL35" s="201"/>
      <c r="UM35" s="201"/>
      <c r="UN35" s="201"/>
      <c r="UO35" s="201"/>
      <c r="UP35" s="201"/>
      <c r="UQ35" s="201"/>
      <c r="UR35" s="201"/>
      <c r="US35" s="201"/>
      <c r="UT35" s="201"/>
      <c r="UU35" s="201"/>
      <c r="UV35" s="201"/>
      <c r="UW35" s="201"/>
      <c r="UX35" s="201"/>
      <c r="UY35" s="201"/>
      <c r="UZ35" s="201"/>
      <c r="VA35" s="201"/>
      <c r="VB35" s="201"/>
      <c r="VC35" s="201"/>
      <c r="VD35" s="201"/>
      <c r="VE35" s="201"/>
      <c r="VF35" s="201"/>
      <c r="VG35" s="201"/>
      <c r="VH35" s="201"/>
      <c r="VI35" s="201"/>
      <c r="VJ35" s="201"/>
      <c r="VK35" s="201"/>
      <c r="VL35" s="201"/>
      <c r="VM35" s="201"/>
      <c r="VN35" s="201"/>
      <c r="VO35" s="201"/>
      <c r="VP35" s="201"/>
      <c r="VQ35" s="201"/>
      <c r="VR35" s="201"/>
      <c r="VS35" s="201"/>
      <c r="VT35" s="201"/>
      <c r="VU35" s="201"/>
      <c r="VV35" s="201"/>
      <c r="VW35" s="201"/>
      <c r="VX35" s="201"/>
      <c r="VY35" s="201"/>
      <c r="VZ35" s="201"/>
      <c r="WA35" s="201"/>
      <c r="WB35" s="201"/>
      <c r="WC35" s="201"/>
      <c r="WD35" s="201"/>
      <c r="WE35" s="201"/>
      <c r="WF35" s="201"/>
      <c r="WG35" s="201"/>
      <c r="WH35" s="201"/>
      <c r="WI35" s="201"/>
      <c r="WJ35" s="201"/>
      <c r="WK35" s="201"/>
      <c r="WL35" s="201"/>
      <c r="WM35" s="201"/>
      <c r="WN35" s="201"/>
      <c r="WO35" s="201"/>
      <c r="WP35" s="201"/>
      <c r="WQ35" s="201"/>
      <c r="WR35" s="201"/>
      <c r="WS35" s="201"/>
      <c r="WT35" s="201"/>
      <c r="WU35" s="201"/>
      <c r="WV35" s="201"/>
      <c r="WW35" s="201"/>
      <c r="WX35" s="201"/>
      <c r="WY35" s="201"/>
      <c r="WZ35" s="201"/>
      <c r="XA35" s="201"/>
      <c r="XB35" s="201"/>
      <c r="XC35" s="201"/>
      <c r="XD35" s="201"/>
      <c r="XE35" s="201"/>
      <c r="XF35" s="201"/>
      <c r="XG35" s="201"/>
      <c r="XH35" s="201"/>
      <c r="XI35" s="201"/>
      <c r="XJ35" s="201"/>
      <c r="XK35" s="201"/>
      <c r="XL35" s="201"/>
      <c r="XM35" s="201"/>
      <c r="XN35" s="201"/>
      <c r="XO35" s="201"/>
      <c r="XP35" s="201"/>
      <c r="XQ35" s="201"/>
      <c r="XR35" s="201"/>
      <c r="XS35" s="201"/>
      <c r="XT35" s="201"/>
      <c r="XU35" s="201"/>
      <c r="XV35" s="201"/>
      <c r="XW35" s="201"/>
      <c r="XX35" s="201"/>
      <c r="XY35" s="201"/>
      <c r="XZ35" s="201"/>
      <c r="YA35" s="201"/>
      <c r="YB35" s="201"/>
      <c r="YC35" s="201"/>
      <c r="YD35" s="201"/>
      <c r="YE35" s="201"/>
      <c r="YF35" s="201"/>
      <c r="YG35" s="201"/>
      <c r="YH35" s="201"/>
      <c r="YI35" s="201"/>
      <c r="YJ35" s="201"/>
      <c r="YK35" s="201"/>
      <c r="YL35" s="201"/>
      <c r="YM35" s="201"/>
      <c r="YN35" s="201"/>
      <c r="YO35" s="201"/>
      <c r="YP35" s="201"/>
      <c r="YQ35" s="201"/>
      <c r="YR35" s="201"/>
      <c r="YS35" s="201"/>
      <c r="YT35" s="201"/>
      <c r="YU35" s="201"/>
      <c r="YV35" s="201"/>
      <c r="YW35" s="201"/>
      <c r="YX35" s="201"/>
      <c r="YY35" s="201"/>
      <c r="YZ35" s="201"/>
      <c r="ZA35" s="201"/>
      <c r="ZB35" s="201"/>
      <c r="ZC35" s="201"/>
      <c r="ZD35" s="201"/>
      <c r="ZE35" s="201"/>
      <c r="ZF35" s="201"/>
      <c r="ZG35" s="201"/>
      <c r="ZH35" s="201"/>
      <c r="ZI35" s="201"/>
      <c r="ZJ35" s="201"/>
      <c r="ZK35" s="201"/>
      <c r="ZL35" s="201"/>
      <c r="ZM35" s="201"/>
      <c r="ZN35" s="201"/>
      <c r="ZO35" s="201"/>
      <c r="ZP35" s="201"/>
      <c r="ZQ35" s="201"/>
      <c r="ZR35" s="201"/>
      <c r="ZS35" s="201"/>
      <c r="ZT35" s="201"/>
      <c r="ZU35" s="201"/>
      <c r="ZV35" s="201"/>
      <c r="ZW35" s="201"/>
    </row>
    <row r="36" spans="1:699" ht="15.75" customHeight="1" x14ac:dyDescent="0.2">
      <c r="A36" s="42"/>
      <c r="B36" s="133" t="s">
        <v>226</v>
      </c>
      <c r="C36" s="39"/>
      <c r="D36" s="39"/>
      <c r="E36" s="39"/>
      <c r="F36" s="39"/>
      <c r="G36" s="4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row>
    <row r="37" spans="1:699" ht="15.75" customHeight="1" x14ac:dyDescent="0.2">
      <c r="A37" s="42"/>
      <c r="B37" s="133"/>
      <c r="C37" s="39"/>
      <c r="D37" s="39"/>
      <c r="E37" s="39"/>
      <c r="F37" s="39"/>
      <c r="G37" s="4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row>
    <row r="38" spans="1:699" ht="15.75" customHeight="1" x14ac:dyDescent="0.2">
      <c r="A38" s="42">
        <v>3.5</v>
      </c>
      <c r="B38" s="39" t="s">
        <v>21</v>
      </c>
      <c r="C38" s="39"/>
      <c r="D38" s="39"/>
      <c r="E38" s="39"/>
      <c r="F38" s="39"/>
      <c r="G38" s="40"/>
      <c r="H38" s="200"/>
      <c r="I38" s="200"/>
      <c r="J38" s="200"/>
      <c r="K38" s="200"/>
      <c r="L38" s="254"/>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row>
    <row r="39" spans="1:699" ht="15.75" customHeight="1" x14ac:dyDescent="0.2">
      <c r="A39" s="42"/>
      <c r="B39" s="39" t="s">
        <v>227</v>
      </c>
      <c r="C39" s="39"/>
      <c r="D39" s="39"/>
      <c r="E39" s="39"/>
      <c r="F39" s="39"/>
      <c r="G39" s="40"/>
      <c r="H39" s="82"/>
      <c r="I39" s="82"/>
      <c r="J39" s="82"/>
      <c r="K39" s="82" t="s">
        <v>228</v>
      </c>
      <c r="L39" s="255">
        <f>SUM(S32)*(1+B25)+B22</f>
        <v>0.74951999999999996</v>
      </c>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82"/>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82"/>
      <c r="JY39" s="82"/>
      <c r="JZ39" s="82"/>
      <c r="KA39" s="82"/>
      <c r="KB39" s="82"/>
      <c r="KC39" s="82"/>
      <c r="KD39" s="82"/>
      <c r="KE39" s="82"/>
      <c r="KF39" s="82"/>
      <c r="KG39" s="82"/>
      <c r="KH39" s="82"/>
      <c r="KI39" s="82"/>
      <c r="KJ39" s="82"/>
      <c r="KK39" s="82"/>
      <c r="KL39" s="82"/>
      <c r="KM39" s="82"/>
      <c r="KN39" s="82"/>
      <c r="KO39" s="82"/>
      <c r="KP39" s="82"/>
      <c r="KQ39" s="82"/>
      <c r="KR39" s="82"/>
      <c r="KS39" s="82"/>
      <c r="KT39" s="82"/>
      <c r="KU39" s="82"/>
      <c r="KV39" s="82"/>
      <c r="KW39" s="82"/>
      <c r="KX39" s="82"/>
      <c r="KY39" s="82"/>
      <c r="KZ39" s="82"/>
      <c r="LA39" s="82"/>
      <c r="LB39" s="82"/>
      <c r="LC39" s="82"/>
      <c r="LD39" s="82"/>
      <c r="LE39" s="82"/>
      <c r="LF39" s="82"/>
      <c r="LG39" s="82"/>
      <c r="LH39" s="82"/>
      <c r="LI39" s="82"/>
      <c r="LJ39" s="82"/>
      <c r="LK39" s="82"/>
      <c r="LL39" s="82"/>
      <c r="LM39" s="82"/>
      <c r="LN39" s="82"/>
      <c r="LO39" s="82"/>
      <c r="LP39" s="82"/>
      <c r="LQ39" s="82"/>
      <c r="LR39" s="82"/>
      <c r="LS39" s="82"/>
      <c r="LT39" s="82"/>
      <c r="LU39" s="82"/>
      <c r="LV39" s="82"/>
      <c r="LW39" s="82"/>
      <c r="LX39" s="82"/>
      <c r="LY39" s="82"/>
      <c r="LZ39" s="82"/>
      <c r="MA39" s="82"/>
      <c r="MB39" s="82"/>
      <c r="MC39" s="82"/>
      <c r="MD39" s="82"/>
      <c r="ME39" s="82"/>
      <c r="MF39" s="82"/>
      <c r="MG39" s="82"/>
      <c r="MH39" s="82"/>
      <c r="MI39" s="82"/>
      <c r="MJ39" s="82"/>
      <c r="MK39" s="82"/>
      <c r="ML39" s="82"/>
      <c r="MM39" s="82"/>
      <c r="MN39" s="82"/>
      <c r="MO39" s="82"/>
      <c r="MP39" s="82"/>
      <c r="MQ39" s="82"/>
      <c r="MR39" s="82"/>
      <c r="MS39" s="82"/>
      <c r="MT39" s="82"/>
      <c r="MU39" s="82"/>
      <c r="MV39" s="82"/>
      <c r="MW39" s="82"/>
      <c r="MX39" s="82"/>
      <c r="MY39" s="82"/>
      <c r="MZ39" s="82"/>
      <c r="NA39" s="82"/>
      <c r="NB39" s="82"/>
      <c r="NC39" s="82"/>
      <c r="ND39" s="82"/>
      <c r="NE39" s="82"/>
      <c r="NF39" s="82"/>
      <c r="NG39" s="82"/>
      <c r="NH39" s="82"/>
      <c r="NI39" s="82"/>
      <c r="NJ39" s="82"/>
      <c r="NK39" s="82"/>
      <c r="NL39" s="82"/>
      <c r="NM39" s="82"/>
      <c r="NN39" s="82"/>
      <c r="NO39" s="82"/>
      <c r="NP39" s="82"/>
      <c r="NQ39" s="82"/>
      <c r="NR39" s="82"/>
      <c r="NS39" s="82"/>
      <c r="NT39" s="82"/>
      <c r="NU39" s="82"/>
      <c r="NV39" s="82"/>
      <c r="NW39" s="82"/>
      <c r="NX39" s="82"/>
      <c r="NY39" s="82"/>
      <c r="NZ39" s="82"/>
      <c r="OA39" s="82"/>
      <c r="OB39" s="82"/>
      <c r="OC39" s="82"/>
      <c r="OD39" s="82"/>
      <c r="OE39" s="82"/>
      <c r="OF39" s="82"/>
      <c r="OG39" s="82"/>
      <c r="OH39" s="82"/>
      <c r="OI39" s="82"/>
      <c r="OJ39" s="82"/>
      <c r="OK39" s="82"/>
      <c r="OL39" s="82"/>
      <c r="OM39" s="82"/>
      <c r="ON39" s="82"/>
      <c r="OO39" s="82"/>
      <c r="OP39" s="82"/>
      <c r="OQ39" s="82"/>
      <c r="OR39" s="82"/>
      <c r="OS39" s="82"/>
      <c r="OT39" s="82"/>
      <c r="OU39" s="82"/>
      <c r="OV39" s="82"/>
      <c r="OW39" s="82"/>
      <c r="OX39" s="82"/>
      <c r="OY39" s="82"/>
      <c r="OZ39" s="82"/>
      <c r="PA39" s="82"/>
      <c r="PB39" s="82"/>
      <c r="PC39" s="82"/>
      <c r="PD39" s="82"/>
      <c r="PE39" s="82"/>
      <c r="PF39" s="82"/>
      <c r="PG39" s="82"/>
      <c r="PH39" s="82"/>
      <c r="PI39" s="82"/>
      <c r="PJ39" s="82"/>
      <c r="PK39" s="82"/>
      <c r="PL39" s="82"/>
      <c r="PM39" s="82"/>
      <c r="PN39" s="82"/>
      <c r="PO39" s="82"/>
      <c r="PP39" s="82"/>
      <c r="PQ39" s="82"/>
      <c r="PR39" s="82"/>
      <c r="PS39" s="82"/>
      <c r="PT39" s="82"/>
      <c r="PU39" s="82"/>
      <c r="PV39" s="82"/>
      <c r="PW39" s="82"/>
      <c r="PX39" s="82"/>
      <c r="PY39" s="82"/>
      <c r="PZ39" s="82"/>
      <c r="QA39" s="82"/>
      <c r="QB39" s="82"/>
      <c r="QC39" s="82"/>
      <c r="QD39" s="82"/>
      <c r="QE39" s="82"/>
      <c r="QF39" s="82"/>
      <c r="QG39" s="82"/>
      <c r="QH39" s="82"/>
      <c r="QI39" s="82"/>
      <c r="QJ39" s="82"/>
      <c r="QK39" s="82"/>
      <c r="QL39" s="82"/>
      <c r="QM39" s="82"/>
      <c r="QN39" s="82"/>
      <c r="QO39" s="82"/>
      <c r="QP39" s="82"/>
      <c r="QQ39" s="82"/>
      <c r="QR39" s="82"/>
      <c r="QS39" s="82"/>
      <c r="QT39" s="82"/>
      <c r="QU39" s="82"/>
      <c r="QV39" s="82"/>
      <c r="QW39" s="82"/>
      <c r="QX39" s="82"/>
      <c r="QY39" s="82"/>
      <c r="QZ39" s="82"/>
      <c r="RA39" s="82"/>
      <c r="RB39" s="82"/>
      <c r="RC39" s="82"/>
      <c r="RD39" s="82"/>
      <c r="RE39" s="82"/>
      <c r="RF39" s="82"/>
      <c r="RG39" s="82"/>
      <c r="RH39" s="82"/>
      <c r="RI39" s="82"/>
      <c r="RJ39" s="82"/>
      <c r="RK39" s="82"/>
      <c r="RL39" s="82"/>
      <c r="RM39" s="82"/>
      <c r="RN39" s="82"/>
      <c r="RO39" s="82"/>
      <c r="RP39" s="82"/>
      <c r="RQ39" s="82"/>
      <c r="RR39" s="82"/>
      <c r="RS39" s="82"/>
      <c r="RT39" s="82"/>
      <c r="RU39" s="82"/>
      <c r="RV39" s="82"/>
      <c r="RW39" s="82"/>
      <c r="RX39" s="82"/>
      <c r="RY39" s="82"/>
      <c r="RZ39" s="82"/>
      <c r="SA39" s="82"/>
      <c r="SB39" s="82"/>
      <c r="SC39" s="82"/>
      <c r="SD39" s="82"/>
      <c r="SE39" s="82"/>
      <c r="SF39" s="82"/>
      <c r="SG39" s="82"/>
      <c r="SH39" s="82"/>
      <c r="SI39" s="82"/>
      <c r="SJ39" s="82"/>
      <c r="SK39" s="82"/>
      <c r="SL39" s="82"/>
      <c r="SM39" s="82"/>
      <c r="SN39" s="82"/>
      <c r="SO39" s="82"/>
      <c r="SP39" s="82"/>
      <c r="SQ39" s="82"/>
      <c r="SR39" s="82"/>
      <c r="SS39" s="82"/>
      <c r="ST39" s="82"/>
      <c r="SU39" s="82"/>
      <c r="SV39" s="82"/>
      <c r="SW39" s="82"/>
      <c r="SX39" s="82"/>
      <c r="SY39" s="82"/>
      <c r="SZ39" s="82"/>
      <c r="TA39" s="82"/>
      <c r="TB39" s="82"/>
      <c r="TC39" s="82"/>
      <c r="TD39" s="82"/>
      <c r="TE39" s="82"/>
      <c r="TF39" s="82"/>
      <c r="TG39" s="82"/>
      <c r="TH39" s="82"/>
      <c r="TI39" s="82"/>
      <c r="TJ39" s="82"/>
      <c r="TK39" s="82"/>
      <c r="TL39" s="82"/>
      <c r="TM39" s="82"/>
      <c r="TN39" s="82"/>
      <c r="TO39" s="82"/>
      <c r="TP39" s="82"/>
      <c r="TQ39" s="82"/>
      <c r="TR39" s="82"/>
      <c r="TS39" s="82"/>
      <c r="TT39" s="82"/>
      <c r="TU39" s="82"/>
      <c r="TV39" s="82"/>
      <c r="TW39" s="82"/>
      <c r="TX39" s="82"/>
      <c r="TY39" s="82"/>
      <c r="TZ39" s="82"/>
      <c r="UA39" s="82"/>
      <c r="UB39" s="82"/>
      <c r="UC39" s="82"/>
      <c r="UD39" s="82"/>
      <c r="UE39" s="82"/>
      <c r="UF39" s="82"/>
      <c r="UG39" s="82"/>
      <c r="UH39" s="82"/>
      <c r="UI39" s="82"/>
      <c r="UJ39" s="82"/>
      <c r="UK39" s="82"/>
      <c r="UL39" s="82"/>
      <c r="UM39" s="82"/>
      <c r="UN39" s="82"/>
      <c r="UO39" s="82"/>
      <c r="UP39" s="82"/>
      <c r="UQ39" s="82"/>
      <c r="UR39" s="82"/>
      <c r="US39" s="82"/>
      <c r="UT39" s="82"/>
      <c r="UU39" s="82"/>
      <c r="UV39" s="82"/>
      <c r="UW39" s="82"/>
      <c r="UX39" s="82"/>
      <c r="UY39" s="82"/>
      <c r="UZ39" s="82"/>
      <c r="VA39" s="82"/>
      <c r="VB39" s="82"/>
      <c r="VC39" s="82"/>
      <c r="VD39" s="82"/>
      <c r="VE39" s="82"/>
      <c r="VF39" s="82"/>
      <c r="VG39" s="82"/>
      <c r="VH39" s="82"/>
      <c r="VI39" s="82"/>
      <c r="VJ39" s="82"/>
      <c r="VK39" s="82"/>
      <c r="VL39" s="82"/>
      <c r="VM39" s="82"/>
      <c r="VN39" s="82"/>
      <c r="VO39" s="82"/>
      <c r="VP39" s="82"/>
      <c r="VQ39" s="82"/>
      <c r="VR39" s="82"/>
      <c r="VS39" s="82"/>
      <c r="VT39" s="82"/>
      <c r="VU39" s="82"/>
      <c r="VV39" s="82"/>
      <c r="VW39" s="82"/>
      <c r="VX39" s="82"/>
      <c r="VY39" s="82"/>
      <c r="VZ39" s="82"/>
      <c r="WA39" s="82"/>
      <c r="WB39" s="82"/>
      <c r="WC39" s="82"/>
      <c r="WD39" s="82"/>
      <c r="WE39" s="82"/>
      <c r="WF39" s="82"/>
      <c r="WG39" s="82"/>
      <c r="WH39" s="82"/>
      <c r="WI39" s="82"/>
      <c r="WJ39" s="82"/>
      <c r="WK39" s="82"/>
      <c r="WL39" s="82"/>
      <c r="WM39" s="82"/>
      <c r="WN39" s="82"/>
      <c r="WO39" s="82"/>
      <c r="WP39" s="82"/>
      <c r="WQ39" s="82"/>
      <c r="WR39" s="82"/>
      <c r="WS39" s="82"/>
      <c r="WT39" s="82"/>
      <c r="WU39" s="82"/>
      <c r="WV39" s="82"/>
      <c r="WW39" s="82"/>
      <c r="WX39" s="82"/>
      <c r="WY39" s="82"/>
      <c r="WZ39" s="82"/>
      <c r="XA39" s="82"/>
      <c r="XB39" s="82"/>
      <c r="XC39" s="82"/>
      <c r="XD39" s="82"/>
      <c r="XE39" s="82"/>
      <c r="XF39" s="82"/>
      <c r="XG39" s="82"/>
      <c r="XH39" s="82"/>
      <c r="XI39" s="82"/>
      <c r="XJ39" s="82"/>
      <c r="XK39" s="82"/>
      <c r="XL39" s="82"/>
      <c r="XM39" s="82"/>
      <c r="XN39" s="82"/>
      <c r="XO39" s="82"/>
      <c r="XP39" s="82"/>
      <c r="XQ39" s="82"/>
      <c r="XR39" s="82"/>
      <c r="XS39" s="82"/>
      <c r="XT39" s="82"/>
      <c r="XU39" s="82"/>
      <c r="XV39" s="82"/>
      <c r="XW39" s="82"/>
      <c r="XX39" s="82"/>
      <c r="XY39" s="82"/>
      <c r="XZ39" s="82"/>
      <c r="YA39" s="82"/>
      <c r="YB39" s="82"/>
      <c r="YC39" s="82"/>
      <c r="YD39" s="82"/>
      <c r="YE39" s="82"/>
      <c r="YF39" s="82"/>
      <c r="YG39" s="82"/>
      <c r="YH39" s="82"/>
      <c r="YI39" s="82"/>
      <c r="YJ39" s="82"/>
      <c r="YK39" s="82"/>
      <c r="YL39" s="82"/>
      <c r="YM39" s="82"/>
      <c r="YN39" s="82"/>
      <c r="YO39" s="82"/>
      <c r="YP39" s="82"/>
      <c r="YQ39" s="82"/>
      <c r="YR39" s="82"/>
      <c r="YS39" s="82"/>
      <c r="YT39" s="82"/>
      <c r="YU39" s="82"/>
      <c r="YV39" s="82"/>
      <c r="YW39" s="82"/>
      <c r="YX39" s="82"/>
      <c r="YY39" s="82"/>
      <c r="YZ39" s="82"/>
      <c r="ZA39" s="82"/>
      <c r="ZB39" s="82"/>
      <c r="ZC39" s="82"/>
      <c r="ZD39" s="82"/>
      <c r="ZE39" s="82"/>
      <c r="ZF39" s="82"/>
      <c r="ZG39" s="82"/>
      <c r="ZH39" s="82"/>
      <c r="ZI39" s="82"/>
      <c r="ZJ39" s="82"/>
      <c r="ZK39" s="82"/>
      <c r="ZL39" s="82"/>
      <c r="ZM39" s="82"/>
      <c r="ZN39" s="82"/>
      <c r="ZO39" s="82"/>
      <c r="ZP39" s="82"/>
      <c r="ZQ39" s="82"/>
      <c r="ZR39" s="82"/>
      <c r="ZS39" s="82"/>
      <c r="ZT39" s="82"/>
      <c r="ZU39" s="82"/>
      <c r="ZV39" s="82"/>
      <c r="ZW39" s="82"/>
    </row>
    <row r="40" spans="1:699" ht="15.75" customHeight="1" x14ac:dyDescent="0.2">
      <c r="A40" s="42"/>
      <c r="B40" s="39" t="s">
        <v>229</v>
      </c>
      <c r="C40" s="39"/>
      <c r="D40" s="256"/>
      <c r="E40" s="70"/>
      <c r="F40" s="70"/>
      <c r="G40" s="40"/>
      <c r="H40" s="82"/>
      <c r="I40" s="82"/>
      <c r="J40" s="82"/>
      <c r="K40" s="82" t="s">
        <v>230</v>
      </c>
      <c r="L40" s="82">
        <f>L39/(1+B26)</f>
        <v>0.70048598130841111</v>
      </c>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82"/>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82"/>
      <c r="JY40" s="82"/>
      <c r="JZ40" s="82"/>
      <c r="KA40" s="82"/>
      <c r="KB40" s="82"/>
      <c r="KC40" s="82"/>
      <c r="KD40" s="82"/>
      <c r="KE40" s="82"/>
      <c r="KF40" s="82"/>
      <c r="KG40" s="82"/>
      <c r="KH40" s="82"/>
      <c r="KI40" s="82"/>
      <c r="KJ40" s="82"/>
      <c r="KK40" s="82"/>
      <c r="KL40" s="82"/>
      <c r="KM40" s="82"/>
      <c r="KN40" s="82"/>
      <c r="KO40" s="82"/>
      <c r="KP40" s="82"/>
      <c r="KQ40" s="82"/>
      <c r="KR40" s="82"/>
      <c r="KS40" s="82"/>
      <c r="KT40" s="82"/>
      <c r="KU40" s="82"/>
      <c r="KV40" s="82"/>
      <c r="KW40" s="82"/>
      <c r="KX40" s="82"/>
      <c r="KY40" s="82"/>
      <c r="KZ40" s="82"/>
      <c r="LA40" s="82"/>
      <c r="LB40" s="82"/>
      <c r="LC40" s="82"/>
      <c r="LD40" s="82"/>
      <c r="LE40" s="82"/>
      <c r="LF40" s="82"/>
      <c r="LG40" s="82"/>
      <c r="LH40" s="82"/>
      <c r="LI40" s="82"/>
      <c r="LJ40" s="82"/>
      <c r="LK40" s="82"/>
      <c r="LL40" s="82"/>
      <c r="LM40" s="82"/>
      <c r="LN40" s="82"/>
      <c r="LO40" s="82"/>
      <c r="LP40" s="82"/>
      <c r="LQ40" s="82"/>
      <c r="LR40" s="82"/>
      <c r="LS40" s="82"/>
      <c r="LT40" s="82"/>
      <c r="LU40" s="82"/>
      <c r="LV40" s="82"/>
      <c r="LW40" s="82"/>
      <c r="LX40" s="82"/>
      <c r="LY40" s="82"/>
      <c r="LZ40" s="82"/>
      <c r="MA40" s="82"/>
      <c r="MB40" s="82"/>
      <c r="MC40" s="82"/>
      <c r="MD40" s="82"/>
      <c r="ME40" s="82"/>
      <c r="MF40" s="82"/>
      <c r="MG40" s="82"/>
      <c r="MH40" s="82"/>
      <c r="MI40" s="82"/>
      <c r="MJ40" s="82"/>
      <c r="MK40" s="82"/>
      <c r="ML40" s="82"/>
      <c r="MM40" s="82"/>
      <c r="MN40" s="82"/>
      <c r="MO40" s="82"/>
      <c r="MP40" s="82"/>
      <c r="MQ40" s="82"/>
      <c r="MR40" s="82"/>
      <c r="MS40" s="82"/>
      <c r="MT40" s="82"/>
      <c r="MU40" s="82"/>
      <c r="MV40" s="82"/>
      <c r="MW40" s="82"/>
      <c r="MX40" s="82"/>
      <c r="MY40" s="82"/>
      <c r="MZ40" s="82"/>
      <c r="NA40" s="82"/>
      <c r="NB40" s="82"/>
      <c r="NC40" s="82"/>
      <c r="ND40" s="82"/>
      <c r="NE40" s="82"/>
      <c r="NF40" s="82"/>
      <c r="NG40" s="82"/>
      <c r="NH40" s="82"/>
      <c r="NI40" s="82"/>
      <c r="NJ40" s="82"/>
      <c r="NK40" s="82"/>
      <c r="NL40" s="82"/>
      <c r="NM40" s="82"/>
      <c r="NN40" s="82"/>
      <c r="NO40" s="82"/>
      <c r="NP40" s="82"/>
      <c r="NQ40" s="82"/>
      <c r="NR40" s="82"/>
      <c r="NS40" s="82"/>
      <c r="NT40" s="82"/>
      <c r="NU40" s="82"/>
      <c r="NV40" s="82"/>
      <c r="NW40" s="82"/>
      <c r="NX40" s="82"/>
      <c r="NY40" s="82"/>
      <c r="NZ40" s="82"/>
      <c r="OA40" s="82"/>
      <c r="OB40" s="82"/>
      <c r="OC40" s="82"/>
      <c r="OD40" s="82"/>
      <c r="OE40" s="82"/>
      <c r="OF40" s="82"/>
      <c r="OG40" s="82"/>
      <c r="OH40" s="82"/>
      <c r="OI40" s="82"/>
      <c r="OJ40" s="82"/>
      <c r="OK40" s="82"/>
      <c r="OL40" s="82"/>
      <c r="OM40" s="82"/>
      <c r="ON40" s="82"/>
      <c r="OO40" s="82"/>
      <c r="OP40" s="82"/>
      <c r="OQ40" s="82"/>
      <c r="OR40" s="82"/>
      <c r="OS40" s="82"/>
      <c r="OT40" s="82"/>
      <c r="OU40" s="82"/>
      <c r="OV40" s="82"/>
      <c r="OW40" s="82"/>
      <c r="OX40" s="82"/>
      <c r="OY40" s="82"/>
      <c r="OZ40" s="82"/>
      <c r="PA40" s="82"/>
      <c r="PB40" s="82"/>
      <c r="PC40" s="82"/>
      <c r="PD40" s="82"/>
      <c r="PE40" s="82"/>
      <c r="PF40" s="82"/>
      <c r="PG40" s="82"/>
      <c r="PH40" s="82"/>
      <c r="PI40" s="82"/>
      <c r="PJ40" s="82"/>
      <c r="PK40" s="82"/>
      <c r="PL40" s="82"/>
      <c r="PM40" s="82"/>
      <c r="PN40" s="82"/>
      <c r="PO40" s="82"/>
      <c r="PP40" s="82"/>
      <c r="PQ40" s="82"/>
      <c r="PR40" s="82"/>
      <c r="PS40" s="82"/>
      <c r="PT40" s="82"/>
      <c r="PU40" s="82"/>
      <c r="PV40" s="82"/>
      <c r="PW40" s="82"/>
      <c r="PX40" s="82"/>
      <c r="PY40" s="82"/>
      <c r="PZ40" s="82"/>
      <c r="QA40" s="82"/>
      <c r="QB40" s="82"/>
      <c r="QC40" s="82"/>
      <c r="QD40" s="82"/>
      <c r="QE40" s="82"/>
      <c r="QF40" s="82"/>
      <c r="QG40" s="82"/>
      <c r="QH40" s="82"/>
      <c r="QI40" s="82"/>
      <c r="QJ40" s="82"/>
      <c r="QK40" s="82"/>
      <c r="QL40" s="82"/>
      <c r="QM40" s="82"/>
      <c r="QN40" s="82"/>
      <c r="QO40" s="82"/>
      <c r="QP40" s="82"/>
      <c r="QQ40" s="82"/>
      <c r="QR40" s="82"/>
      <c r="QS40" s="82"/>
      <c r="QT40" s="82"/>
      <c r="QU40" s="82"/>
      <c r="QV40" s="82"/>
      <c r="QW40" s="82"/>
      <c r="QX40" s="82"/>
      <c r="QY40" s="82"/>
      <c r="QZ40" s="82"/>
      <c r="RA40" s="82"/>
      <c r="RB40" s="82"/>
      <c r="RC40" s="82"/>
      <c r="RD40" s="82"/>
      <c r="RE40" s="82"/>
      <c r="RF40" s="82"/>
      <c r="RG40" s="82"/>
      <c r="RH40" s="82"/>
      <c r="RI40" s="82"/>
      <c r="RJ40" s="82"/>
      <c r="RK40" s="82"/>
      <c r="RL40" s="82"/>
      <c r="RM40" s="82"/>
      <c r="RN40" s="82"/>
      <c r="RO40" s="82"/>
      <c r="RP40" s="82"/>
      <c r="RQ40" s="82"/>
      <c r="RR40" s="82"/>
      <c r="RS40" s="82"/>
      <c r="RT40" s="82"/>
      <c r="RU40" s="82"/>
      <c r="RV40" s="82"/>
      <c r="RW40" s="82"/>
      <c r="RX40" s="82"/>
      <c r="RY40" s="82"/>
      <c r="RZ40" s="82"/>
      <c r="SA40" s="82"/>
      <c r="SB40" s="82"/>
      <c r="SC40" s="82"/>
      <c r="SD40" s="82"/>
      <c r="SE40" s="82"/>
      <c r="SF40" s="82"/>
      <c r="SG40" s="82"/>
      <c r="SH40" s="82"/>
      <c r="SI40" s="82"/>
      <c r="SJ40" s="82"/>
      <c r="SK40" s="82"/>
      <c r="SL40" s="82"/>
      <c r="SM40" s="82"/>
      <c r="SN40" s="82"/>
      <c r="SO40" s="82"/>
      <c r="SP40" s="82"/>
      <c r="SQ40" s="82"/>
      <c r="SR40" s="82"/>
      <c r="SS40" s="82"/>
      <c r="ST40" s="82"/>
      <c r="SU40" s="82"/>
      <c r="SV40" s="82"/>
      <c r="SW40" s="82"/>
      <c r="SX40" s="82"/>
      <c r="SY40" s="82"/>
      <c r="SZ40" s="82"/>
      <c r="TA40" s="82"/>
      <c r="TB40" s="82"/>
      <c r="TC40" s="82"/>
      <c r="TD40" s="82"/>
      <c r="TE40" s="82"/>
      <c r="TF40" s="82"/>
      <c r="TG40" s="82"/>
      <c r="TH40" s="82"/>
      <c r="TI40" s="82"/>
      <c r="TJ40" s="82"/>
      <c r="TK40" s="82"/>
      <c r="TL40" s="82"/>
      <c r="TM40" s="82"/>
      <c r="TN40" s="82"/>
      <c r="TO40" s="82"/>
      <c r="TP40" s="82"/>
      <c r="TQ40" s="82"/>
      <c r="TR40" s="82"/>
      <c r="TS40" s="82"/>
      <c r="TT40" s="82"/>
      <c r="TU40" s="82"/>
      <c r="TV40" s="82"/>
      <c r="TW40" s="82"/>
      <c r="TX40" s="82"/>
      <c r="TY40" s="82"/>
      <c r="TZ40" s="82"/>
      <c r="UA40" s="82"/>
      <c r="UB40" s="82"/>
      <c r="UC40" s="82"/>
      <c r="UD40" s="82"/>
      <c r="UE40" s="82"/>
      <c r="UF40" s="82"/>
      <c r="UG40" s="82"/>
      <c r="UH40" s="82"/>
      <c r="UI40" s="82"/>
      <c r="UJ40" s="82"/>
      <c r="UK40" s="82"/>
      <c r="UL40" s="82"/>
      <c r="UM40" s="82"/>
      <c r="UN40" s="82"/>
      <c r="UO40" s="82"/>
      <c r="UP40" s="82"/>
      <c r="UQ40" s="82"/>
      <c r="UR40" s="82"/>
      <c r="US40" s="82"/>
      <c r="UT40" s="82"/>
      <c r="UU40" s="82"/>
      <c r="UV40" s="82"/>
      <c r="UW40" s="82"/>
      <c r="UX40" s="82"/>
      <c r="UY40" s="82"/>
      <c r="UZ40" s="82"/>
      <c r="VA40" s="82"/>
      <c r="VB40" s="82"/>
      <c r="VC40" s="82"/>
      <c r="VD40" s="82"/>
      <c r="VE40" s="82"/>
      <c r="VF40" s="82"/>
      <c r="VG40" s="82"/>
      <c r="VH40" s="82"/>
      <c r="VI40" s="82"/>
      <c r="VJ40" s="82"/>
      <c r="VK40" s="82"/>
      <c r="VL40" s="82"/>
      <c r="VM40" s="82"/>
      <c r="VN40" s="82"/>
      <c r="VO40" s="82"/>
      <c r="VP40" s="82"/>
      <c r="VQ40" s="82"/>
      <c r="VR40" s="82"/>
      <c r="VS40" s="82"/>
      <c r="VT40" s="82"/>
      <c r="VU40" s="82"/>
      <c r="VV40" s="82"/>
      <c r="VW40" s="82"/>
      <c r="VX40" s="82"/>
      <c r="VY40" s="82"/>
      <c r="VZ40" s="82"/>
      <c r="WA40" s="82"/>
      <c r="WB40" s="82"/>
      <c r="WC40" s="82"/>
      <c r="WD40" s="82"/>
      <c r="WE40" s="82"/>
      <c r="WF40" s="82"/>
      <c r="WG40" s="82"/>
      <c r="WH40" s="82"/>
      <c r="WI40" s="82"/>
      <c r="WJ40" s="82"/>
      <c r="WK40" s="82"/>
      <c r="WL40" s="82"/>
      <c r="WM40" s="82"/>
      <c r="WN40" s="82"/>
      <c r="WO40" s="82"/>
      <c r="WP40" s="82"/>
      <c r="WQ40" s="82"/>
      <c r="WR40" s="82"/>
      <c r="WS40" s="82"/>
      <c r="WT40" s="82"/>
      <c r="WU40" s="82"/>
      <c r="WV40" s="82"/>
      <c r="WW40" s="82"/>
      <c r="WX40" s="82"/>
      <c r="WY40" s="82"/>
      <c r="WZ40" s="82"/>
      <c r="XA40" s="82"/>
      <c r="XB40" s="82"/>
      <c r="XC40" s="82"/>
      <c r="XD40" s="82"/>
      <c r="XE40" s="82"/>
      <c r="XF40" s="82"/>
      <c r="XG40" s="82"/>
      <c r="XH40" s="82"/>
      <c r="XI40" s="82"/>
      <c r="XJ40" s="82"/>
      <c r="XK40" s="82"/>
      <c r="XL40" s="82"/>
      <c r="XM40" s="82"/>
      <c r="XN40" s="82"/>
      <c r="XO40" s="82"/>
      <c r="XP40" s="82"/>
      <c r="XQ40" s="82"/>
      <c r="XR40" s="82"/>
      <c r="XS40" s="82"/>
      <c r="XT40" s="82"/>
      <c r="XU40" s="82"/>
      <c r="XV40" s="82"/>
      <c r="XW40" s="82"/>
      <c r="XX40" s="82"/>
      <c r="XY40" s="82"/>
      <c r="XZ40" s="82"/>
      <c r="YA40" s="82"/>
      <c r="YB40" s="82"/>
      <c r="YC40" s="82"/>
      <c r="YD40" s="82"/>
      <c r="YE40" s="82"/>
      <c r="YF40" s="82"/>
      <c r="YG40" s="82"/>
      <c r="YH40" s="82"/>
      <c r="YI40" s="82"/>
      <c r="YJ40" s="82"/>
      <c r="YK40" s="82"/>
      <c r="YL40" s="82"/>
      <c r="YM40" s="82"/>
      <c r="YN40" s="82"/>
      <c r="YO40" s="82"/>
      <c r="YP40" s="82"/>
      <c r="YQ40" s="82"/>
      <c r="YR40" s="82"/>
      <c r="YS40" s="82"/>
      <c r="YT40" s="82"/>
      <c r="YU40" s="82"/>
      <c r="YV40" s="82"/>
      <c r="YW40" s="82"/>
      <c r="YX40" s="82"/>
      <c r="YY40" s="82"/>
      <c r="YZ40" s="82"/>
      <c r="ZA40" s="82"/>
      <c r="ZB40" s="82"/>
      <c r="ZC40" s="82"/>
      <c r="ZD40" s="82"/>
      <c r="ZE40" s="82"/>
      <c r="ZF40" s="82"/>
      <c r="ZG40" s="82"/>
      <c r="ZH40" s="82"/>
      <c r="ZI40" s="82"/>
      <c r="ZJ40" s="82"/>
      <c r="ZK40" s="82"/>
      <c r="ZL40" s="82"/>
      <c r="ZM40" s="82"/>
      <c r="ZN40" s="82"/>
      <c r="ZO40" s="82"/>
      <c r="ZP40" s="82"/>
      <c r="ZQ40" s="82"/>
      <c r="ZR40" s="82"/>
      <c r="ZS40" s="82"/>
      <c r="ZT40" s="82"/>
      <c r="ZU40" s="82"/>
      <c r="ZV40" s="82"/>
      <c r="ZW40" s="82"/>
    </row>
    <row r="41" spans="1:699" ht="15.75" customHeight="1" thickBot="1" x14ac:dyDescent="0.25">
      <c r="A41" s="75"/>
      <c r="B41" s="76"/>
      <c r="C41" s="257"/>
      <c r="D41" s="258"/>
      <c r="E41" s="258"/>
      <c r="F41" s="258"/>
      <c r="G41" s="259"/>
      <c r="H41" s="200"/>
      <c r="I41" s="200"/>
      <c r="J41" s="200"/>
      <c r="K41" s="200" t="s">
        <v>231</v>
      </c>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row>
    <row r="42" spans="1:699" ht="15.75" customHeight="1" x14ac:dyDescent="0.2">
      <c r="A42" s="260"/>
      <c r="B42" s="200"/>
      <c r="C42" s="200"/>
      <c r="D42" s="200"/>
      <c r="E42" s="200"/>
      <c r="F42" s="200"/>
      <c r="G42" s="200"/>
      <c r="H42" s="200"/>
      <c r="I42" s="200"/>
      <c r="J42" s="200"/>
      <c r="K42" s="200"/>
      <c r="L42" s="261">
        <f>1-B23-L40</f>
        <v>9.9514018691588935E-2</v>
      </c>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row>
    <row r="43" spans="1:699" ht="15.75" customHeight="1" x14ac:dyDescent="0.2">
      <c r="A43" s="26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row>
    <row r="44" spans="1:699" ht="15.75" customHeight="1" x14ac:dyDescent="0.2">
      <c r="A44" s="26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row>
    <row r="45" spans="1:699" ht="15.75" customHeight="1" x14ac:dyDescent="0.2">
      <c r="A45" s="260"/>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row>
    <row r="46" spans="1:699" ht="15.75" customHeight="1" x14ac:dyDescent="0.2">
      <c r="A46" s="26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row>
    <row r="47" spans="1:699" ht="15.75" customHeight="1" x14ac:dyDescent="0.2">
      <c r="A47" s="260"/>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row>
    <row r="48" spans="1:699" ht="15.75" customHeight="1" x14ac:dyDescent="0.2">
      <c r="A48" s="260"/>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row>
    <row r="49" spans="1:52" ht="15.75" customHeight="1" x14ac:dyDescent="0.2">
      <c r="A49" s="260"/>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row>
    <row r="50" spans="1:52" ht="15.75" customHeight="1" x14ac:dyDescent="0.2">
      <c r="A50" s="260"/>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row>
    <row r="51" spans="1:52" ht="15.75" customHeight="1" x14ac:dyDescent="0.2">
      <c r="A51" s="260"/>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row>
    <row r="52" spans="1:52" ht="15.75" customHeight="1" x14ac:dyDescent="0.2">
      <c r="A52" s="260"/>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row>
    <row r="53" spans="1:52" ht="15.75" customHeight="1" x14ac:dyDescent="0.2">
      <c r="A53" s="26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row>
    <row r="54" spans="1:52" ht="15.75" customHeight="1" x14ac:dyDescent="0.2">
      <c r="A54" s="260"/>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row>
    <row r="55" spans="1:52" ht="15.75" customHeight="1" x14ac:dyDescent="0.2">
      <c r="A55" s="26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row>
    <row r="56" spans="1:52" ht="15.75" customHeight="1" x14ac:dyDescent="0.2">
      <c r="A56" s="26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row>
    <row r="57" spans="1:52" ht="15.75" customHeight="1" x14ac:dyDescent="0.2">
      <c r="A57" s="26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row>
    <row r="58" spans="1:52" ht="15.75" customHeight="1" x14ac:dyDescent="0.2">
      <c r="A58" s="26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row>
    <row r="59" spans="1:52" ht="15.75" customHeight="1" x14ac:dyDescent="0.2">
      <c r="A59" s="26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row>
    <row r="60" spans="1:52" ht="15.75" customHeight="1" x14ac:dyDescent="0.2">
      <c r="A60" s="26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row>
    <row r="61" spans="1:52" ht="15.75" customHeight="1" x14ac:dyDescent="0.2">
      <c r="A61" s="26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row>
    <row r="62" spans="1:52" ht="15.75" customHeight="1" x14ac:dyDescent="0.2">
      <c r="A62" s="26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row>
    <row r="63" spans="1:52" ht="15.75" customHeight="1" x14ac:dyDescent="0.2">
      <c r="A63" s="26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row>
    <row r="64" spans="1:52" ht="15.75" customHeight="1" x14ac:dyDescent="0.2">
      <c r="A64" s="26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row>
    <row r="65" spans="1:52" ht="15.75" customHeight="1" x14ac:dyDescent="0.2">
      <c r="A65" s="26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row>
    <row r="66" spans="1:52" ht="15.75" customHeight="1" x14ac:dyDescent="0.2">
      <c r="A66" s="26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row>
    <row r="67" spans="1:52" ht="15.75" customHeight="1" x14ac:dyDescent="0.2">
      <c r="A67" s="260"/>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row>
    <row r="68" spans="1:52" ht="15.75" customHeight="1" x14ac:dyDescent="0.2">
      <c r="A68" s="26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row>
    <row r="69" spans="1:52" ht="15.75" customHeight="1" x14ac:dyDescent="0.2">
      <c r="A69" s="26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row>
    <row r="70" spans="1:52" ht="15.75" customHeight="1" x14ac:dyDescent="0.2">
      <c r="A70" s="26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row>
    <row r="71" spans="1:52" ht="15.75" customHeight="1" x14ac:dyDescent="0.2">
      <c r="A71" s="26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row>
    <row r="72" spans="1:52" ht="15.75" customHeight="1" x14ac:dyDescent="0.2">
      <c r="A72" s="26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row>
    <row r="73" spans="1:52" ht="15.75" customHeight="1" x14ac:dyDescent="0.2">
      <c r="A73" s="26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row>
    <row r="74" spans="1:52" ht="15.75" customHeight="1" x14ac:dyDescent="0.2">
      <c r="A74" s="26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row>
    <row r="75" spans="1:52" ht="15.75" customHeight="1" x14ac:dyDescent="0.2">
      <c r="A75" s="26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row>
    <row r="76" spans="1:52" ht="15.75" customHeight="1" x14ac:dyDescent="0.2">
      <c r="A76" s="26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row>
    <row r="77" spans="1:52" ht="15.75" customHeight="1" x14ac:dyDescent="0.2">
      <c r="A77" s="26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row>
    <row r="78" spans="1:52" ht="15.75" customHeight="1" x14ac:dyDescent="0.2">
      <c r="A78" s="26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row>
    <row r="79" spans="1:52" ht="15.75" customHeight="1" x14ac:dyDescent="0.2">
      <c r="A79" s="26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row>
    <row r="80" spans="1:52" ht="15.75" customHeight="1" x14ac:dyDescent="0.2">
      <c r="A80" s="26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row>
    <row r="81" spans="1:52" ht="15.75" customHeight="1" x14ac:dyDescent="0.2">
      <c r="A81" s="26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row>
    <row r="82" spans="1:52" ht="15.75" customHeight="1" x14ac:dyDescent="0.2">
      <c r="A82" s="26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row>
    <row r="83" spans="1:52" ht="15.75" customHeight="1" x14ac:dyDescent="0.2">
      <c r="A83" s="26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row>
    <row r="84" spans="1:52" ht="15.75" customHeight="1" x14ac:dyDescent="0.2">
      <c r="A84" s="26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row>
    <row r="85" spans="1:52" ht="15.75" customHeight="1" x14ac:dyDescent="0.2">
      <c r="A85" s="26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row>
    <row r="86" spans="1:52" ht="15.75" customHeight="1" x14ac:dyDescent="0.2">
      <c r="A86" s="26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row>
    <row r="87" spans="1:52" ht="15.75" customHeight="1" x14ac:dyDescent="0.2">
      <c r="A87" s="26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row>
    <row r="88" spans="1:52" ht="15.75" customHeight="1" x14ac:dyDescent="0.2">
      <c r="A88" s="26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row>
    <row r="89" spans="1:52" ht="15.75" customHeight="1" x14ac:dyDescent="0.2">
      <c r="A89" s="26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row>
    <row r="90" spans="1:52" ht="15.75" customHeight="1" x14ac:dyDescent="0.2">
      <c r="A90" s="26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row>
    <row r="91" spans="1:52" ht="15.75" customHeight="1" x14ac:dyDescent="0.2">
      <c r="A91" s="26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row>
    <row r="92" spans="1:52" ht="15.75" customHeight="1" x14ac:dyDescent="0.2">
      <c r="A92" s="26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row>
    <row r="93" spans="1:52" ht="15.75" customHeight="1" x14ac:dyDescent="0.2">
      <c r="A93" s="26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row>
    <row r="94" spans="1:52" ht="15.75" customHeight="1" x14ac:dyDescent="0.2">
      <c r="A94" s="26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row>
    <row r="95" spans="1:52" ht="15.75" customHeight="1" x14ac:dyDescent="0.2">
      <c r="A95" s="26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row>
    <row r="96" spans="1:52" ht="15.75" customHeight="1" x14ac:dyDescent="0.2">
      <c r="A96" s="26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row>
    <row r="97" spans="1:52" ht="15.75" customHeight="1" x14ac:dyDescent="0.2">
      <c r="A97" s="26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row>
    <row r="98" spans="1:52" ht="15.75" customHeight="1" x14ac:dyDescent="0.2">
      <c r="A98" s="26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row>
    <row r="99" spans="1:52" ht="15.75" customHeight="1" x14ac:dyDescent="0.2">
      <c r="A99" s="26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row>
    <row r="100" spans="1:52" ht="15.75" customHeight="1" x14ac:dyDescent="0.2">
      <c r="A100" s="26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row>
    <row r="101" spans="1:52" ht="15.75" customHeight="1" x14ac:dyDescent="0.2">
      <c r="A101" s="26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row>
    <row r="102" spans="1:52" ht="15.75" customHeight="1" x14ac:dyDescent="0.2">
      <c r="A102" s="26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row>
    <row r="103" spans="1:52" ht="15.75" customHeight="1" x14ac:dyDescent="0.2">
      <c r="A103" s="26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row>
    <row r="104" spans="1:52" ht="15.75" customHeight="1" x14ac:dyDescent="0.2">
      <c r="A104" s="26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row>
    <row r="105" spans="1:52" ht="15.75" customHeight="1" x14ac:dyDescent="0.2">
      <c r="A105" s="26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row>
    <row r="106" spans="1:52" ht="15.75" customHeight="1" x14ac:dyDescent="0.2">
      <c r="A106" s="26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row>
    <row r="107" spans="1:52" ht="15.75" customHeight="1" x14ac:dyDescent="0.2">
      <c r="A107" s="26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row>
    <row r="108" spans="1:52" ht="15.75" customHeight="1" x14ac:dyDescent="0.2">
      <c r="A108" s="26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row>
    <row r="109" spans="1:52" ht="15.75" customHeight="1" x14ac:dyDescent="0.2">
      <c r="A109" s="26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row>
    <row r="110" spans="1:52" ht="15.75" customHeight="1" x14ac:dyDescent="0.2">
      <c r="A110" s="26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row>
    <row r="111" spans="1:52" ht="15.75" customHeight="1" x14ac:dyDescent="0.2">
      <c r="A111" s="26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row>
    <row r="112" spans="1:52" ht="15.75" customHeight="1" x14ac:dyDescent="0.2">
      <c r="A112" s="26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row>
    <row r="113" spans="1:52" ht="15.75" customHeight="1" x14ac:dyDescent="0.2">
      <c r="A113" s="26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row>
    <row r="114" spans="1:52" ht="15.75" customHeight="1" x14ac:dyDescent="0.2">
      <c r="A114" s="26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row>
    <row r="115" spans="1:52" ht="15.75" customHeight="1" x14ac:dyDescent="0.2">
      <c r="A115" s="26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row>
    <row r="116" spans="1:52" ht="15.75" customHeight="1" x14ac:dyDescent="0.2">
      <c r="A116" s="26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row>
    <row r="117" spans="1:52" ht="15.75" customHeight="1" x14ac:dyDescent="0.2">
      <c r="A117" s="26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row>
    <row r="118" spans="1:52" ht="15.75" customHeight="1" x14ac:dyDescent="0.2">
      <c r="A118" s="26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row>
    <row r="119" spans="1:52" ht="15.75" customHeight="1" x14ac:dyDescent="0.2">
      <c r="A119" s="26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row>
    <row r="120" spans="1:52" ht="15.75" customHeight="1" x14ac:dyDescent="0.2">
      <c r="A120" s="26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row>
    <row r="121" spans="1:52" ht="15.75" customHeight="1" x14ac:dyDescent="0.2">
      <c r="A121" s="26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row>
    <row r="122" spans="1:52" ht="15.75" customHeight="1" x14ac:dyDescent="0.2">
      <c r="A122" s="26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row>
    <row r="123" spans="1:52" ht="15.75" customHeight="1" x14ac:dyDescent="0.2">
      <c r="A123" s="26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row>
    <row r="124" spans="1:52" ht="15.75" customHeight="1" x14ac:dyDescent="0.2">
      <c r="A124" s="26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row>
    <row r="125" spans="1:52" ht="15.75" customHeight="1" x14ac:dyDescent="0.2">
      <c r="A125" s="26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row>
    <row r="126" spans="1:52" ht="15.75" customHeight="1" x14ac:dyDescent="0.2">
      <c r="A126" s="26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row>
    <row r="127" spans="1:52" ht="15.75" customHeight="1" x14ac:dyDescent="0.2">
      <c r="A127" s="26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row>
    <row r="128" spans="1:52" ht="15.75" customHeight="1" x14ac:dyDescent="0.2">
      <c r="A128" s="26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row>
    <row r="129" spans="1:52" ht="15.75" customHeight="1" x14ac:dyDescent="0.2">
      <c r="A129" s="26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row>
    <row r="130" spans="1:52" ht="15.75" customHeight="1" x14ac:dyDescent="0.2">
      <c r="A130" s="26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row>
    <row r="131" spans="1:52" ht="15.75" customHeight="1" x14ac:dyDescent="0.2">
      <c r="A131" s="26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row>
    <row r="132" spans="1:52" ht="15.75" customHeight="1" x14ac:dyDescent="0.2">
      <c r="A132" s="26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row>
    <row r="133" spans="1:52" ht="15.75" customHeight="1" x14ac:dyDescent="0.2">
      <c r="A133" s="26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row>
    <row r="134" spans="1:52" ht="15.75" customHeight="1" x14ac:dyDescent="0.2">
      <c r="A134" s="26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row>
    <row r="135" spans="1:52" ht="15.75" customHeight="1" x14ac:dyDescent="0.2">
      <c r="A135" s="26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row>
    <row r="136" spans="1:52" ht="15.75" customHeight="1" x14ac:dyDescent="0.2">
      <c r="A136" s="26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row>
    <row r="137" spans="1:52" ht="15.75" customHeight="1" x14ac:dyDescent="0.2">
      <c r="A137" s="26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row>
    <row r="138" spans="1:52" ht="15.75" customHeight="1" x14ac:dyDescent="0.2">
      <c r="A138" s="26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row>
    <row r="139" spans="1:52" ht="15.75" customHeight="1" x14ac:dyDescent="0.2">
      <c r="A139" s="26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row>
    <row r="140" spans="1:52" ht="15.75" customHeight="1" x14ac:dyDescent="0.2">
      <c r="A140" s="26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row>
    <row r="141" spans="1:52" ht="15.75" customHeight="1" x14ac:dyDescent="0.2">
      <c r="A141" s="26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row>
    <row r="142" spans="1:52" ht="15.75" customHeight="1" x14ac:dyDescent="0.2">
      <c r="A142" s="26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row>
    <row r="143" spans="1:52" ht="15.75" customHeight="1" x14ac:dyDescent="0.2">
      <c r="A143" s="26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row>
    <row r="144" spans="1:52" ht="15.75" customHeight="1" x14ac:dyDescent="0.2">
      <c r="A144" s="26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row>
    <row r="145" spans="1:52" ht="15.75" customHeight="1" x14ac:dyDescent="0.2">
      <c r="A145" s="26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row>
    <row r="146" spans="1:52" ht="15.75" customHeight="1" x14ac:dyDescent="0.2">
      <c r="A146" s="26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row>
    <row r="147" spans="1:52" ht="15.75" customHeight="1" x14ac:dyDescent="0.2">
      <c r="A147" s="26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row>
    <row r="148" spans="1:52" ht="15.75" customHeight="1" x14ac:dyDescent="0.2">
      <c r="A148" s="26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row>
    <row r="149" spans="1:52" ht="15.75" customHeight="1" x14ac:dyDescent="0.2">
      <c r="A149" s="26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row>
    <row r="150" spans="1:52" ht="15.75" customHeight="1" x14ac:dyDescent="0.2">
      <c r="A150" s="26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row>
    <row r="151" spans="1:52" ht="15.75" customHeight="1" x14ac:dyDescent="0.2">
      <c r="A151" s="26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row>
    <row r="152" spans="1:52" ht="15.75" customHeight="1" x14ac:dyDescent="0.2">
      <c r="A152" s="26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row>
    <row r="153" spans="1:52" ht="15.75" customHeight="1" x14ac:dyDescent="0.2">
      <c r="A153" s="26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row>
    <row r="154" spans="1:52" ht="15.75" customHeight="1" x14ac:dyDescent="0.2">
      <c r="A154" s="26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row>
    <row r="155" spans="1:52" ht="15.75" customHeight="1" x14ac:dyDescent="0.2">
      <c r="A155" s="26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row>
    <row r="156" spans="1:52" ht="15.75" customHeight="1" x14ac:dyDescent="0.2">
      <c r="A156" s="26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row>
    <row r="157" spans="1:52" ht="15.75" customHeight="1" x14ac:dyDescent="0.2">
      <c r="A157" s="26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row>
    <row r="158" spans="1:52" ht="15.75" customHeight="1" x14ac:dyDescent="0.2">
      <c r="A158" s="26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row>
    <row r="159" spans="1:52" ht="15.75" customHeight="1" x14ac:dyDescent="0.2">
      <c r="A159" s="26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row>
    <row r="160" spans="1:52" ht="15.75" customHeight="1" x14ac:dyDescent="0.2">
      <c r="A160" s="26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row>
    <row r="161" spans="1:52" ht="15.75" customHeight="1" x14ac:dyDescent="0.2">
      <c r="A161" s="26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row>
    <row r="162" spans="1:52" ht="15.75" customHeight="1" x14ac:dyDescent="0.2">
      <c r="A162" s="26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row>
    <row r="163" spans="1:52" ht="15.75" customHeight="1" x14ac:dyDescent="0.2">
      <c r="A163" s="26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row>
    <row r="164" spans="1:52" ht="15.75" customHeight="1" x14ac:dyDescent="0.2">
      <c r="A164" s="26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row>
    <row r="165" spans="1:52" ht="15.75" customHeight="1" x14ac:dyDescent="0.2">
      <c r="A165" s="26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row>
    <row r="166" spans="1:52" ht="15.75" customHeight="1" x14ac:dyDescent="0.2">
      <c r="A166" s="26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row>
    <row r="167" spans="1:52" ht="15.75" customHeight="1" x14ac:dyDescent="0.2">
      <c r="A167" s="26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row>
    <row r="168" spans="1:52" ht="15.75" customHeight="1" x14ac:dyDescent="0.2">
      <c r="A168" s="26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row>
    <row r="169" spans="1:52" ht="15.75" customHeight="1" x14ac:dyDescent="0.2">
      <c r="A169" s="26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row>
    <row r="170" spans="1:52" ht="15.75" customHeight="1" x14ac:dyDescent="0.2">
      <c r="A170" s="26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row>
    <row r="171" spans="1:52" ht="15.75" customHeight="1" x14ac:dyDescent="0.2">
      <c r="A171" s="26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row>
    <row r="172" spans="1:52" ht="15.75" customHeight="1" x14ac:dyDescent="0.2">
      <c r="A172" s="26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row>
    <row r="173" spans="1:52" ht="15.75" customHeight="1" x14ac:dyDescent="0.2">
      <c r="A173" s="26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row>
    <row r="174" spans="1:52" ht="15.75" customHeight="1" x14ac:dyDescent="0.2">
      <c r="A174" s="26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row>
    <row r="175" spans="1:52" ht="15.75" customHeight="1" x14ac:dyDescent="0.2">
      <c r="A175" s="26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row>
    <row r="176" spans="1:52" ht="15.75" customHeight="1" x14ac:dyDescent="0.2">
      <c r="A176" s="26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row>
    <row r="177" spans="1:52" ht="15.75" customHeight="1" x14ac:dyDescent="0.2">
      <c r="A177" s="26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row>
    <row r="178" spans="1:52" ht="15.75" customHeight="1" x14ac:dyDescent="0.2">
      <c r="A178" s="26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row>
    <row r="179" spans="1:52" ht="15.75" customHeight="1" x14ac:dyDescent="0.2">
      <c r="A179" s="26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row>
    <row r="180" spans="1:52" ht="15.75" customHeight="1" x14ac:dyDescent="0.2">
      <c r="A180" s="26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row>
    <row r="181" spans="1:52" ht="15.75" customHeight="1" x14ac:dyDescent="0.2">
      <c r="A181" s="26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row>
    <row r="182" spans="1:52" ht="15.75" customHeight="1" x14ac:dyDescent="0.2">
      <c r="A182" s="26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row>
    <row r="183" spans="1:52" ht="15.75" customHeight="1" x14ac:dyDescent="0.2">
      <c r="A183" s="26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row>
    <row r="184" spans="1:52" ht="15.75" customHeight="1" x14ac:dyDescent="0.2">
      <c r="A184" s="26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row>
    <row r="185" spans="1:52" ht="15.75" customHeight="1" x14ac:dyDescent="0.2">
      <c r="A185" s="26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row>
    <row r="186" spans="1:52" ht="15.75" customHeight="1" x14ac:dyDescent="0.2">
      <c r="A186" s="26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row>
    <row r="187" spans="1:52" ht="15.75" customHeight="1" x14ac:dyDescent="0.2">
      <c r="A187" s="26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row>
    <row r="188" spans="1:52" ht="15.75" customHeight="1" x14ac:dyDescent="0.2">
      <c r="A188" s="26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row>
    <row r="189" spans="1:52" ht="15.75" customHeight="1" x14ac:dyDescent="0.2">
      <c r="A189" s="26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row>
    <row r="190" spans="1:52" ht="15.75" customHeight="1" x14ac:dyDescent="0.2">
      <c r="A190" s="26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row>
    <row r="191" spans="1:52" ht="15.75" customHeight="1" x14ac:dyDescent="0.2">
      <c r="A191" s="26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row>
    <row r="192" spans="1:52" ht="15.75" customHeight="1" x14ac:dyDescent="0.2">
      <c r="A192" s="26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row>
    <row r="193" spans="1:52" ht="15.75" customHeight="1" x14ac:dyDescent="0.2">
      <c r="A193" s="26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row>
    <row r="194" spans="1:52" ht="15.75" customHeight="1" x14ac:dyDescent="0.2">
      <c r="A194" s="26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row>
    <row r="195" spans="1:52" ht="15.75" customHeight="1" x14ac:dyDescent="0.2">
      <c r="A195" s="26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row>
    <row r="196" spans="1:52" ht="15.75" customHeight="1" x14ac:dyDescent="0.2">
      <c r="A196" s="262"/>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row>
    <row r="197" spans="1:52" ht="0" hidden="1" customHeight="1" x14ac:dyDescent="0.2">
      <c r="A197" s="262"/>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row>
    <row r="198" spans="1:52" ht="0" hidden="1" customHeight="1" x14ac:dyDescent="0.2">
      <c r="A198" s="262"/>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row>
    <row r="199" spans="1:52" ht="0" hidden="1" customHeight="1" x14ac:dyDescent="0.2">
      <c r="A199" s="262"/>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row>
    <row r="200" spans="1:52" ht="0" hidden="1" customHeight="1" x14ac:dyDescent="0.2">
      <c r="A200" s="262"/>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row>
    <row r="201" spans="1:52" ht="0" hidden="1" customHeight="1" x14ac:dyDescent="0.2">
      <c r="A201" s="263"/>
      <c r="B201" s="263"/>
      <c r="C201" s="263"/>
      <c r="D201" s="263"/>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c r="AA201" s="263"/>
      <c r="AB201" s="263"/>
      <c r="AC201" s="263"/>
      <c r="AD201" s="263"/>
      <c r="AE201" s="263"/>
      <c r="AF201" s="263"/>
      <c r="AG201" s="263"/>
      <c r="AH201" s="263"/>
      <c r="AI201" s="263"/>
      <c r="AJ201" s="263"/>
      <c r="AK201" s="263"/>
      <c r="AL201" s="263"/>
      <c r="AM201" s="263"/>
      <c r="AN201" s="263"/>
      <c r="AO201" s="263"/>
      <c r="AP201" s="263"/>
      <c r="AQ201" s="263"/>
      <c r="AR201" s="263"/>
      <c r="AS201" s="263"/>
      <c r="AT201" s="263"/>
      <c r="AU201" s="263"/>
      <c r="AV201" s="263"/>
      <c r="AW201" s="263"/>
    </row>
  </sheetData>
  <sheetProtection formatCells="0" formatColumns="0" formatRows="0" autoFilter="0"/>
  <pageMargins left="0.75" right="0.75" top="1" bottom="1" header="0.5" footer="0.5"/>
  <pageSetup scale="77" orientation="portrait"/>
  <headerFooter alignWithMargins="0">
    <oddHeader>&amp;CSpring 2018 Exam 5 Make-Up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W201"/>
  <sheetViews>
    <sheetView topLeftCell="A22" workbookViewId="0"/>
  </sheetViews>
  <sheetFormatPr defaultColWidth="0" defaultRowHeight="0" customHeight="1" zeroHeight="1" x14ac:dyDescent="0.2"/>
  <cols>
    <col min="1" max="4" width="17.25" style="201" customWidth="1"/>
    <col min="5" max="5" width="19.75" style="201" customWidth="1"/>
    <col min="6" max="6" width="14" style="201" customWidth="1"/>
    <col min="7" max="9" width="15" style="201" bestFit="1" customWidth="1"/>
    <col min="10" max="49" width="8.875" style="201" customWidth="1"/>
    <col min="50" max="16384" width="8.875" style="201" hidden="1"/>
  </cols>
  <sheetData>
    <row r="1" spans="1:699" ht="15.75" customHeight="1" thickBot="1" x14ac:dyDescent="0.25">
      <c r="A1" s="1">
        <v>6</v>
      </c>
      <c r="B1" s="2"/>
      <c r="C1" s="33"/>
      <c r="D1" s="33"/>
      <c r="E1" s="33"/>
      <c r="F1" s="33"/>
      <c r="G1" s="34"/>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row>
    <row r="2" spans="1:699" ht="15.75" customHeight="1" x14ac:dyDescent="0.2">
      <c r="A2" s="38" t="s">
        <v>0</v>
      </c>
      <c r="B2" s="39"/>
      <c r="C2" s="39"/>
      <c r="D2" s="39"/>
      <c r="E2" s="39"/>
      <c r="F2" s="39"/>
      <c r="G2" s="4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row>
    <row r="3" spans="1:699" ht="15.75" customHeight="1" x14ac:dyDescent="0.2">
      <c r="A3" s="42">
        <v>4.5</v>
      </c>
      <c r="B3" s="39"/>
      <c r="C3" s="39"/>
      <c r="D3" s="39"/>
      <c r="E3" s="39"/>
      <c r="F3" s="39"/>
      <c r="G3" s="4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row>
    <row r="4" spans="1:699" ht="15.75" customHeight="1" x14ac:dyDescent="0.2">
      <c r="A4" s="42"/>
      <c r="B4" s="88" t="s">
        <v>181</v>
      </c>
      <c r="C4" s="39"/>
      <c r="D4" s="39"/>
      <c r="E4" s="39"/>
      <c r="F4" s="39"/>
      <c r="G4" s="47"/>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row>
    <row r="5" spans="1:699" ht="15.75" customHeight="1" thickBot="1" x14ac:dyDescent="0.25">
      <c r="A5" s="42"/>
      <c r="B5" s="88"/>
      <c r="C5" s="39"/>
      <c r="D5" s="39"/>
      <c r="E5" s="39"/>
      <c r="F5" s="39"/>
      <c r="G5" s="47"/>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row>
    <row r="6" spans="1:699" ht="15.75" customHeight="1" thickBot="1" x14ac:dyDescent="0.25">
      <c r="A6" s="42"/>
      <c r="B6" s="203" t="s">
        <v>186</v>
      </c>
      <c r="C6" s="204"/>
      <c r="D6" s="39"/>
      <c r="E6" s="39"/>
      <c r="F6" s="39"/>
      <c r="G6" s="47"/>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row>
    <row r="7" spans="1:699" ht="15.75" customHeight="1" thickBot="1" x14ac:dyDescent="0.25">
      <c r="A7" s="42"/>
      <c r="B7" s="205" t="s">
        <v>187</v>
      </c>
      <c r="C7" s="206" t="s">
        <v>188</v>
      </c>
      <c r="D7" s="39"/>
      <c r="E7" s="39"/>
      <c r="F7" s="39"/>
      <c r="G7" s="57"/>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row>
    <row r="8" spans="1:699" ht="15.75" customHeight="1" x14ac:dyDescent="0.2">
      <c r="A8" s="42"/>
      <c r="B8" s="207">
        <v>42552</v>
      </c>
      <c r="C8" s="208">
        <v>0.08</v>
      </c>
      <c r="D8" s="209"/>
      <c r="E8" s="209"/>
      <c r="F8" s="210"/>
      <c r="G8" s="61"/>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row>
    <row r="9" spans="1:699" ht="15.75" customHeight="1" thickBot="1" x14ac:dyDescent="0.25">
      <c r="A9" s="42"/>
      <c r="B9" s="211">
        <v>42917</v>
      </c>
      <c r="C9" s="212">
        <v>0.05</v>
      </c>
      <c r="D9" s="209"/>
      <c r="E9" s="209"/>
      <c r="F9" s="210"/>
      <c r="G9" s="61"/>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row>
    <row r="10" spans="1:699" s="214" customFormat="1" ht="15.75" customHeight="1" thickBot="1" x14ac:dyDescent="0.25">
      <c r="A10" s="42"/>
      <c r="B10" s="213"/>
      <c r="C10" s="209"/>
      <c r="D10" s="209"/>
      <c r="E10" s="209"/>
      <c r="F10" s="210"/>
      <c r="G10" s="61"/>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201"/>
      <c r="DL10" s="201"/>
      <c r="DM10" s="201"/>
      <c r="DN10" s="201"/>
      <c r="DO10" s="201"/>
      <c r="DP10" s="201"/>
      <c r="DQ10" s="201"/>
      <c r="DR10" s="201"/>
      <c r="DS10" s="201"/>
      <c r="DT10" s="201"/>
      <c r="DU10" s="201"/>
      <c r="DV10" s="201"/>
      <c r="DW10" s="201"/>
      <c r="DX10" s="201"/>
      <c r="DY10" s="201"/>
      <c r="DZ10" s="201"/>
      <c r="EA10" s="201"/>
      <c r="EB10" s="201"/>
      <c r="EC10" s="201"/>
      <c r="ED10" s="201"/>
      <c r="EE10" s="201"/>
      <c r="EF10" s="201"/>
      <c r="EG10" s="201"/>
      <c r="EH10" s="201"/>
      <c r="EI10" s="201"/>
      <c r="EJ10" s="201"/>
      <c r="EK10" s="201"/>
      <c r="EL10" s="201"/>
      <c r="EM10" s="201"/>
      <c r="EN10" s="201"/>
      <c r="EO10" s="201"/>
      <c r="EP10" s="201"/>
      <c r="EQ10" s="201"/>
      <c r="ER10" s="201"/>
      <c r="ES10" s="201"/>
      <c r="ET10" s="201"/>
      <c r="EU10" s="201"/>
      <c r="EV10" s="201"/>
      <c r="EW10" s="201"/>
      <c r="EX10" s="201"/>
      <c r="EY10" s="201"/>
      <c r="EZ10" s="201"/>
      <c r="FA10" s="201"/>
      <c r="FB10" s="201"/>
      <c r="FC10" s="201"/>
      <c r="FD10" s="201"/>
      <c r="FE10" s="201"/>
      <c r="FF10" s="201"/>
      <c r="FG10" s="201"/>
      <c r="FH10" s="201"/>
      <c r="FI10" s="201"/>
      <c r="FJ10" s="201"/>
      <c r="FK10" s="201"/>
      <c r="FL10" s="201"/>
      <c r="FM10" s="201"/>
      <c r="FN10" s="201"/>
      <c r="FO10" s="201"/>
      <c r="FP10" s="201"/>
      <c r="FQ10" s="201"/>
      <c r="FR10" s="201"/>
      <c r="FS10" s="201"/>
      <c r="FT10" s="201"/>
      <c r="FU10" s="201"/>
      <c r="FV10" s="201"/>
      <c r="FW10" s="201"/>
      <c r="FX10" s="201"/>
      <c r="FY10" s="201"/>
      <c r="FZ10" s="201"/>
      <c r="GA10" s="201"/>
      <c r="GB10" s="201"/>
      <c r="GC10" s="201"/>
      <c r="GD10" s="201"/>
      <c r="GE10" s="201"/>
      <c r="GF10" s="201"/>
      <c r="GG10" s="201"/>
      <c r="GH10" s="201"/>
      <c r="GI10" s="201"/>
      <c r="GJ10" s="201"/>
      <c r="GK10" s="201"/>
      <c r="GL10" s="201"/>
      <c r="GM10" s="201"/>
      <c r="GN10" s="201"/>
      <c r="GO10" s="201"/>
      <c r="GP10" s="201"/>
      <c r="GQ10" s="201"/>
      <c r="GR10" s="201"/>
      <c r="GS10" s="201"/>
      <c r="GT10" s="201"/>
      <c r="GU10" s="201"/>
      <c r="GV10" s="201"/>
      <c r="GW10" s="201"/>
      <c r="GX10" s="201"/>
      <c r="GY10" s="201"/>
      <c r="GZ10" s="201"/>
      <c r="HA10" s="201"/>
      <c r="HB10" s="201"/>
      <c r="HC10" s="201"/>
      <c r="HD10" s="201"/>
      <c r="HE10" s="201"/>
      <c r="HF10" s="201"/>
      <c r="HG10" s="201"/>
      <c r="HH10" s="201"/>
      <c r="HI10" s="201"/>
      <c r="HJ10" s="201"/>
      <c r="HK10" s="201"/>
      <c r="HL10" s="201"/>
      <c r="HM10" s="201"/>
      <c r="HN10" s="201"/>
      <c r="HO10" s="201"/>
      <c r="HP10" s="201"/>
      <c r="HQ10" s="201"/>
      <c r="HR10" s="201"/>
      <c r="HS10" s="201"/>
      <c r="HT10" s="201"/>
      <c r="HU10" s="201"/>
      <c r="HV10" s="201"/>
      <c r="HW10" s="201"/>
      <c r="HX10" s="201"/>
      <c r="HY10" s="201"/>
      <c r="HZ10" s="201"/>
      <c r="IA10" s="201"/>
      <c r="IB10" s="201"/>
      <c r="IC10" s="201"/>
      <c r="ID10" s="201"/>
      <c r="IE10" s="201"/>
      <c r="IF10" s="201"/>
      <c r="IG10" s="201"/>
      <c r="IH10" s="201"/>
      <c r="II10" s="201"/>
      <c r="IJ10" s="201"/>
      <c r="IK10" s="201"/>
      <c r="IL10" s="201"/>
      <c r="IM10" s="201"/>
      <c r="IN10" s="201"/>
      <c r="IO10" s="201"/>
      <c r="IP10" s="201"/>
      <c r="IQ10" s="201"/>
      <c r="IR10" s="201"/>
      <c r="IS10" s="201"/>
      <c r="IT10" s="201"/>
      <c r="IU10" s="201"/>
      <c r="IV10" s="201"/>
      <c r="IW10" s="201"/>
      <c r="IX10" s="201"/>
      <c r="IY10" s="201"/>
      <c r="IZ10" s="201"/>
      <c r="JA10" s="201"/>
      <c r="JB10" s="201"/>
      <c r="JC10" s="201"/>
      <c r="JD10" s="201"/>
      <c r="JE10" s="201"/>
      <c r="JF10" s="201"/>
      <c r="JG10" s="201"/>
      <c r="JH10" s="201"/>
      <c r="JI10" s="201"/>
      <c r="JJ10" s="201"/>
      <c r="JK10" s="201"/>
      <c r="JL10" s="201"/>
      <c r="JM10" s="201"/>
      <c r="JN10" s="201"/>
      <c r="JO10" s="201"/>
      <c r="JP10" s="201"/>
      <c r="JQ10" s="201"/>
      <c r="JR10" s="201"/>
      <c r="JS10" s="201"/>
      <c r="JT10" s="201"/>
      <c r="JU10" s="201"/>
      <c r="JV10" s="201"/>
      <c r="JW10" s="201"/>
      <c r="JX10" s="201"/>
      <c r="JY10" s="201"/>
      <c r="JZ10" s="201"/>
      <c r="KA10" s="201"/>
      <c r="KB10" s="201"/>
      <c r="KC10" s="201"/>
      <c r="KD10" s="201"/>
      <c r="KE10" s="201"/>
      <c r="KF10" s="201"/>
      <c r="KG10" s="201"/>
      <c r="KH10" s="201"/>
      <c r="KI10" s="201"/>
      <c r="KJ10" s="201"/>
      <c r="KK10" s="201"/>
      <c r="KL10" s="201"/>
      <c r="KM10" s="201"/>
      <c r="KN10" s="201"/>
      <c r="KO10" s="201"/>
      <c r="KP10" s="201"/>
      <c r="KQ10" s="201"/>
      <c r="KR10" s="201"/>
      <c r="KS10" s="201"/>
      <c r="KT10" s="201"/>
      <c r="KU10" s="201"/>
      <c r="KV10" s="201"/>
      <c r="KW10" s="201"/>
      <c r="KX10" s="201"/>
      <c r="KY10" s="201"/>
      <c r="KZ10" s="201"/>
      <c r="LA10" s="201"/>
      <c r="LB10" s="201"/>
      <c r="LC10" s="201"/>
      <c r="LD10" s="201"/>
      <c r="LE10" s="201"/>
      <c r="LF10" s="201"/>
      <c r="LG10" s="201"/>
      <c r="LH10" s="201"/>
      <c r="LI10" s="201"/>
      <c r="LJ10" s="201"/>
      <c r="LK10" s="201"/>
      <c r="LL10" s="201"/>
      <c r="LM10" s="201"/>
      <c r="LN10" s="201"/>
      <c r="LO10" s="201"/>
      <c r="LP10" s="201"/>
      <c r="LQ10" s="201"/>
      <c r="LR10" s="201"/>
      <c r="LS10" s="201"/>
      <c r="LT10" s="201"/>
      <c r="LU10" s="201"/>
      <c r="LV10" s="201"/>
      <c r="LW10" s="201"/>
      <c r="LX10" s="201"/>
      <c r="LY10" s="201"/>
      <c r="LZ10" s="201"/>
      <c r="MA10" s="201"/>
      <c r="MB10" s="201"/>
      <c r="MC10" s="201"/>
      <c r="MD10" s="201"/>
      <c r="ME10" s="201"/>
      <c r="MF10" s="201"/>
      <c r="MG10" s="201"/>
      <c r="MH10" s="201"/>
      <c r="MI10" s="201"/>
      <c r="MJ10" s="201"/>
      <c r="MK10" s="201"/>
      <c r="ML10" s="201"/>
      <c r="MM10" s="201"/>
      <c r="MN10" s="201"/>
      <c r="MO10" s="201"/>
      <c r="MP10" s="201"/>
      <c r="MQ10" s="201"/>
      <c r="MR10" s="201"/>
      <c r="MS10" s="201"/>
      <c r="MT10" s="201"/>
      <c r="MU10" s="201"/>
      <c r="MV10" s="201"/>
      <c r="MW10" s="201"/>
      <c r="MX10" s="201"/>
      <c r="MY10" s="201"/>
      <c r="MZ10" s="201"/>
      <c r="NA10" s="201"/>
      <c r="NB10" s="201"/>
      <c r="NC10" s="201"/>
      <c r="ND10" s="201"/>
      <c r="NE10" s="201"/>
      <c r="NF10" s="201"/>
      <c r="NG10" s="201"/>
      <c r="NH10" s="201"/>
      <c r="NI10" s="201"/>
      <c r="NJ10" s="201"/>
      <c r="NK10" s="201"/>
      <c r="NL10" s="201"/>
      <c r="NM10" s="201"/>
      <c r="NN10" s="201"/>
      <c r="NO10" s="201"/>
      <c r="NP10" s="201"/>
      <c r="NQ10" s="201"/>
      <c r="NR10" s="201"/>
      <c r="NS10" s="201"/>
      <c r="NT10" s="201"/>
      <c r="NU10" s="201"/>
      <c r="NV10" s="201"/>
      <c r="NW10" s="201"/>
      <c r="NX10" s="201"/>
      <c r="NY10" s="201"/>
      <c r="NZ10" s="201"/>
      <c r="OA10" s="201"/>
      <c r="OB10" s="201"/>
      <c r="OC10" s="201"/>
      <c r="OD10" s="201"/>
      <c r="OE10" s="201"/>
      <c r="OF10" s="201"/>
      <c r="OG10" s="201"/>
      <c r="OH10" s="201"/>
      <c r="OI10" s="201"/>
      <c r="OJ10" s="201"/>
      <c r="OK10" s="201"/>
      <c r="OL10" s="201"/>
      <c r="OM10" s="201"/>
      <c r="ON10" s="201"/>
      <c r="OO10" s="201"/>
      <c r="OP10" s="201"/>
      <c r="OQ10" s="201"/>
      <c r="OR10" s="201"/>
      <c r="OS10" s="201"/>
      <c r="OT10" s="201"/>
      <c r="OU10" s="201"/>
      <c r="OV10" s="201"/>
      <c r="OW10" s="201"/>
      <c r="OX10" s="201"/>
      <c r="OY10" s="201"/>
      <c r="OZ10" s="201"/>
      <c r="PA10" s="201"/>
      <c r="PB10" s="201"/>
      <c r="PC10" s="201"/>
      <c r="PD10" s="201"/>
      <c r="PE10" s="201"/>
      <c r="PF10" s="201"/>
      <c r="PG10" s="201"/>
      <c r="PH10" s="201"/>
      <c r="PI10" s="201"/>
      <c r="PJ10" s="201"/>
      <c r="PK10" s="201"/>
      <c r="PL10" s="201"/>
      <c r="PM10" s="201"/>
      <c r="PN10" s="201"/>
      <c r="PO10" s="201"/>
      <c r="PP10" s="201"/>
      <c r="PQ10" s="201"/>
      <c r="PR10" s="201"/>
      <c r="PS10" s="201"/>
      <c r="PT10" s="201"/>
      <c r="PU10" s="201"/>
      <c r="PV10" s="201"/>
      <c r="PW10" s="201"/>
      <c r="PX10" s="201"/>
      <c r="PY10" s="201"/>
      <c r="PZ10" s="201"/>
      <c r="QA10" s="201"/>
      <c r="QB10" s="201"/>
      <c r="QC10" s="201"/>
      <c r="QD10" s="201"/>
      <c r="QE10" s="201"/>
      <c r="QF10" s="201"/>
      <c r="QG10" s="201"/>
      <c r="QH10" s="201"/>
      <c r="QI10" s="201"/>
      <c r="QJ10" s="201"/>
      <c r="QK10" s="201"/>
      <c r="QL10" s="201"/>
      <c r="QM10" s="201"/>
      <c r="QN10" s="201"/>
      <c r="QO10" s="201"/>
      <c r="QP10" s="201"/>
      <c r="QQ10" s="201"/>
      <c r="QR10" s="201"/>
      <c r="QS10" s="201"/>
      <c r="QT10" s="201"/>
      <c r="QU10" s="201"/>
      <c r="QV10" s="201"/>
      <c r="QW10" s="201"/>
      <c r="QX10" s="201"/>
      <c r="QY10" s="201"/>
      <c r="QZ10" s="201"/>
      <c r="RA10" s="201"/>
      <c r="RB10" s="201"/>
      <c r="RC10" s="201"/>
      <c r="RD10" s="201"/>
      <c r="RE10" s="201"/>
      <c r="RF10" s="201"/>
      <c r="RG10" s="201"/>
      <c r="RH10" s="201"/>
      <c r="RI10" s="201"/>
      <c r="RJ10" s="201"/>
      <c r="RK10" s="201"/>
      <c r="RL10" s="201"/>
      <c r="RM10" s="201"/>
      <c r="RN10" s="201"/>
      <c r="RO10" s="201"/>
      <c r="RP10" s="201"/>
      <c r="RQ10" s="201"/>
      <c r="RR10" s="201"/>
      <c r="RS10" s="201"/>
      <c r="RT10" s="201"/>
      <c r="RU10" s="201"/>
      <c r="RV10" s="201"/>
      <c r="RW10" s="201"/>
      <c r="RX10" s="201"/>
      <c r="RY10" s="201"/>
      <c r="RZ10" s="201"/>
      <c r="SA10" s="201"/>
      <c r="SB10" s="201"/>
      <c r="SC10" s="201"/>
      <c r="SD10" s="201"/>
      <c r="SE10" s="201"/>
      <c r="SF10" s="201"/>
      <c r="SG10" s="201"/>
      <c r="SH10" s="201"/>
      <c r="SI10" s="201"/>
      <c r="SJ10" s="201"/>
      <c r="SK10" s="201"/>
      <c r="SL10" s="201"/>
      <c r="SM10" s="201"/>
      <c r="SN10" s="201"/>
      <c r="SO10" s="201"/>
      <c r="SP10" s="201"/>
      <c r="SQ10" s="201"/>
      <c r="SR10" s="201"/>
      <c r="SS10" s="201"/>
      <c r="ST10" s="201"/>
      <c r="SU10" s="201"/>
      <c r="SV10" s="201"/>
      <c r="SW10" s="201"/>
      <c r="SX10" s="201"/>
      <c r="SY10" s="201"/>
      <c r="SZ10" s="201"/>
      <c r="TA10" s="201"/>
      <c r="TB10" s="201"/>
      <c r="TC10" s="201"/>
      <c r="TD10" s="201"/>
      <c r="TE10" s="201"/>
      <c r="TF10" s="201"/>
      <c r="TG10" s="201"/>
      <c r="TH10" s="201"/>
      <c r="TI10" s="201"/>
      <c r="TJ10" s="201"/>
      <c r="TK10" s="201"/>
      <c r="TL10" s="201"/>
      <c r="TM10" s="201"/>
      <c r="TN10" s="201"/>
      <c r="TO10" s="201"/>
      <c r="TP10" s="201"/>
      <c r="TQ10" s="201"/>
      <c r="TR10" s="201"/>
      <c r="TS10" s="201"/>
      <c r="TT10" s="201"/>
      <c r="TU10" s="201"/>
      <c r="TV10" s="201"/>
      <c r="TW10" s="201"/>
      <c r="TX10" s="201"/>
      <c r="TY10" s="201"/>
      <c r="TZ10" s="201"/>
      <c r="UA10" s="201"/>
      <c r="UB10" s="201"/>
      <c r="UC10" s="201"/>
      <c r="UD10" s="201"/>
      <c r="UE10" s="201"/>
      <c r="UF10" s="201"/>
      <c r="UG10" s="201"/>
      <c r="UH10" s="201"/>
      <c r="UI10" s="201"/>
      <c r="UJ10" s="201"/>
      <c r="UK10" s="201"/>
      <c r="UL10" s="201"/>
      <c r="UM10" s="201"/>
      <c r="UN10" s="201"/>
      <c r="UO10" s="201"/>
      <c r="UP10" s="201"/>
      <c r="UQ10" s="201"/>
      <c r="UR10" s="201"/>
      <c r="US10" s="201"/>
      <c r="UT10" s="201"/>
      <c r="UU10" s="201"/>
      <c r="UV10" s="201"/>
      <c r="UW10" s="201"/>
      <c r="UX10" s="201"/>
      <c r="UY10" s="201"/>
      <c r="UZ10" s="201"/>
      <c r="VA10" s="201"/>
      <c r="VB10" s="201"/>
      <c r="VC10" s="201"/>
      <c r="VD10" s="201"/>
      <c r="VE10" s="201"/>
      <c r="VF10" s="201"/>
      <c r="VG10" s="201"/>
      <c r="VH10" s="201"/>
      <c r="VI10" s="201"/>
      <c r="VJ10" s="201"/>
      <c r="VK10" s="201"/>
      <c r="VL10" s="201"/>
      <c r="VM10" s="201"/>
      <c r="VN10" s="201"/>
      <c r="VO10" s="201"/>
      <c r="VP10" s="201"/>
      <c r="VQ10" s="201"/>
      <c r="VR10" s="201"/>
      <c r="VS10" s="201"/>
      <c r="VT10" s="201"/>
      <c r="VU10" s="201"/>
      <c r="VV10" s="201"/>
      <c r="VW10" s="201"/>
      <c r="VX10" s="201"/>
      <c r="VY10" s="201"/>
      <c r="VZ10" s="201"/>
      <c r="WA10" s="201"/>
      <c r="WB10" s="201"/>
      <c r="WC10" s="201"/>
      <c r="WD10" s="201"/>
      <c r="WE10" s="201"/>
      <c r="WF10" s="201"/>
      <c r="WG10" s="201"/>
      <c r="WH10" s="201"/>
      <c r="WI10" s="201"/>
      <c r="WJ10" s="201"/>
      <c r="WK10" s="201"/>
      <c r="WL10" s="201"/>
      <c r="WM10" s="201"/>
      <c r="WN10" s="201"/>
      <c r="WO10" s="201"/>
      <c r="WP10" s="201"/>
      <c r="WQ10" s="201"/>
      <c r="WR10" s="201"/>
      <c r="WS10" s="201"/>
      <c r="WT10" s="201"/>
      <c r="WU10" s="201"/>
      <c r="WV10" s="201"/>
      <c r="WW10" s="201"/>
      <c r="WX10" s="201"/>
      <c r="WY10" s="201"/>
      <c r="WZ10" s="201"/>
      <c r="XA10" s="201"/>
      <c r="XB10" s="201"/>
      <c r="XC10" s="201"/>
      <c r="XD10" s="201"/>
      <c r="XE10" s="201"/>
      <c r="XF10" s="201"/>
      <c r="XG10" s="201"/>
      <c r="XH10" s="201"/>
      <c r="XI10" s="201"/>
      <c r="XJ10" s="201"/>
      <c r="XK10" s="201"/>
      <c r="XL10" s="201"/>
      <c r="XM10" s="201"/>
      <c r="XN10" s="201"/>
      <c r="XO10" s="201"/>
      <c r="XP10" s="201"/>
      <c r="XQ10" s="201"/>
      <c r="XR10" s="201"/>
      <c r="XS10" s="201"/>
      <c r="XT10" s="201"/>
      <c r="XU10" s="201"/>
      <c r="XV10" s="201"/>
      <c r="XW10" s="201"/>
      <c r="XX10" s="201"/>
      <c r="XY10" s="201"/>
      <c r="XZ10" s="201"/>
      <c r="YA10" s="201"/>
      <c r="YB10" s="201"/>
      <c r="YC10" s="201"/>
      <c r="YD10" s="201"/>
      <c r="YE10" s="201"/>
      <c r="YF10" s="201"/>
      <c r="YG10" s="201"/>
      <c r="YH10" s="201"/>
      <c r="YI10" s="201"/>
      <c r="YJ10" s="201"/>
      <c r="YK10" s="201"/>
      <c r="YL10" s="201"/>
      <c r="YM10" s="201"/>
      <c r="YN10" s="201"/>
      <c r="YO10" s="201"/>
      <c r="YP10" s="201"/>
      <c r="YQ10" s="201"/>
      <c r="YR10" s="201"/>
      <c r="YS10" s="201"/>
      <c r="YT10" s="201"/>
      <c r="YU10" s="201"/>
      <c r="YV10" s="201"/>
      <c r="YW10" s="201"/>
      <c r="YX10" s="201"/>
      <c r="YY10" s="201"/>
      <c r="YZ10" s="201"/>
      <c r="ZA10" s="201"/>
      <c r="ZB10" s="201"/>
      <c r="ZC10" s="201"/>
      <c r="ZD10" s="201"/>
      <c r="ZE10" s="201"/>
      <c r="ZF10" s="201"/>
      <c r="ZG10" s="201"/>
      <c r="ZH10" s="201"/>
      <c r="ZI10" s="201"/>
      <c r="ZJ10" s="201"/>
      <c r="ZK10" s="201"/>
      <c r="ZL10" s="201"/>
      <c r="ZM10" s="201"/>
      <c r="ZN10" s="201"/>
      <c r="ZO10" s="201"/>
      <c r="ZP10" s="201"/>
      <c r="ZQ10" s="201"/>
      <c r="ZR10" s="201"/>
      <c r="ZS10" s="201"/>
      <c r="ZT10" s="201"/>
      <c r="ZU10" s="201"/>
      <c r="ZV10" s="201"/>
      <c r="ZW10" s="201"/>
    </row>
    <row r="11" spans="1:699" s="214" customFormat="1" ht="15.75" customHeight="1" x14ac:dyDescent="0.2">
      <c r="A11" s="42"/>
      <c r="B11" s="215" t="s">
        <v>191</v>
      </c>
      <c r="C11" s="216">
        <v>2015</v>
      </c>
      <c r="D11" s="216">
        <v>2016</v>
      </c>
      <c r="E11" s="217">
        <v>2017</v>
      </c>
      <c r="F11" s="218"/>
      <c r="G11" s="61"/>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1"/>
      <c r="CB11" s="201"/>
      <c r="CC11" s="201"/>
      <c r="CD11" s="201"/>
      <c r="CE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E11" s="201"/>
      <c r="DF11" s="201"/>
      <c r="DG11" s="201"/>
      <c r="DH11" s="201"/>
      <c r="DI11" s="201"/>
      <c r="DJ11" s="201"/>
      <c r="DK11" s="201"/>
      <c r="DL11" s="201"/>
      <c r="DM11" s="201"/>
      <c r="DN11" s="201"/>
      <c r="DO11" s="201"/>
      <c r="DP11" s="201"/>
      <c r="DQ11" s="201"/>
      <c r="DR11" s="201"/>
      <c r="DS11" s="201"/>
      <c r="DT11" s="201"/>
      <c r="DU11" s="201"/>
      <c r="DV11" s="201"/>
      <c r="DW11" s="201"/>
      <c r="DX11" s="201"/>
      <c r="DY11" s="201"/>
      <c r="DZ11" s="201"/>
      <c r="EA11" s="201"/>
      <c r="EB11" s="201"/>
      <c r="EC11" s="201"/>
      <c r="ED11" s="201"/>
      <c r="EE11" s="201"/>
      <c r="EF11" s="201"/>
      <c r="EG11" s="201"/>
      <c r="EH11" s="201"/>
      <c r="EI11" s="201"/>
      <c r="EJ11" s="201"/>
      <c r="EK11" s="201"/>
      <c r="EL11" s="201"/>
      <c r="EM11" s="201"/>
      <c r="EN11" s="201"/>
      <c r="EO11" s="201"/>
      <c r="EP11" s="201"/>
      <c r="EQ11" s="201"/>
      <c r="ER11" s="201"/>
      <c r="ES11" s="201"/>
      <c r="ET11" s="201"/>
      <c r="EU11" s="201"/>
      <c r="EV11" s="201"/>
      <c r="EW11" s="201"/>
      <c r="EX11" s="201"/>
      <c r="EY11" s="201"/>
      <c r="EZ11" s="201"/>
      <c r="FA11" s="201"/>
      <c r="FB11" s="201"/>
      <c r="FC11" s="201"/>
      <c r="FD11" s="201"/>
      <c r="FE11" s="201"/>
      <c r="FF11" s="201"/>
      <c r="FG11" s="201"/>
      <c r="FH11" s="201"/>
      <c r="FI11" s="201"/>
      <c r="FJ11" s="201"/>
      <c r="FK11" s="201"/>
      <c r="FL11" s="201"/>
      <c r="FM11" s="201"/>
      <c r="FN11" s="201"/>
      <c r="FO11" s="201"/>
      <c r="FP11" s="201"/>
      <c r="FQ11" s="201"/>
      <c r="FR11" s="201"/>
      <c r="FS11" s="201"/>
      <c r="FT11" s="201"/>
      <c r="FU11" s="201"/>
      <c r="FV11" s="201"/>
      <c r="FW11" s="201"/>
      <c r="FX11" s="201"/>
      <c r="FY11" s="201"/>
      <c r="FZ11" s="201"/>
      <c r="GA11" s="201"/>
      <c r="GB11" s="201"/>
      <c r="GC11" s="201"/>
      <c r="GD11" s="201"/>
      <c r="GE11" s="201"/>
      <c r="GF11" s="201"/>
      <c r="GG11" s="201"/>
      <c r="GH11" s="201"/>
      <c r="GI11" s="201"/>
      <c r="GJ11" s="201"/>
      <c r="GK11" s="201"/>
      <c r="GL11" s="201"/>
      <c r="GM11" s="201"/>
      <c r="GN11" s="201"/>
      <c r="GO11" s="201"/>
      <c r="GP11" s="201"/>
      <c r="GQ11" s="201"/>
      <c r="GR11" s="201"/>
      <c r="GS11" s="201"/>
      <c r="GT11" s="201"/>
      <c r="GU11" s="201"/>
      <c r="GV11" s="201"/>
      <c r="GW11" s="201"/>
      <c r="GX11" s="201"/>
      <c r="GY11" s="201"/>
      <c r="GZ11" s="201"/>
      <c r="HA11" s="201"/>
      <c r="HB11" s="201"/>
      <c r="HC11" s="201"/>
      <c r="HD11" s="201"/>
      <c r="HE11" s="201"/>
      <c r="HF11" s="201"/>
      <c r="HG11" s="201"/>
      <c r="HH11" s="201"/>
      <c r="HI11" s="201"/>
      <c r="HJ11" s="201"/>
      <c r="HK11" s="201"/>
      <c r="HL11" s="201"/>
      <c r="HM11" s="201"/>
      <c r="HN11" s="201"/>
      <c r="HO11" s="201"/>
      <c r="HP11" s="201"/>
      <c r="HQ11" s="201"/>
      <c r="HR11" s="201"/>
      <c r="HS11" s="201"/>
      <c r="HT11" s="201"/>
      <c r="HU11" s="201"/>
      <c r="HV11" s="201"/>
      <c r="HW11" s="201"/>
      <c r="HX11" s="201"/>
      <c r="HY11" s="201"/>
      <c r="HZ11" s="201"/>
      <c r="IA11" s="201"/>
      <c r="IB11" s="201"/>
      <c r="IC11" s="201"/>
      <c r="ID11" s="201"/>
      <c r="IE11" s="201"/>
      <c r="IF11" s="201"/>
      <c r="IG11" s="201"/>
      <c r="IH11" s="201"/>
      <c r="II11" s="201"/>
      <c r="IJ11" s="201"/>
      <c r="IK11" s="201"/>
      <c r="IL11" s="201"/>
      <c r="IM11" s="201"/>
      <c r="IN11" s="201"/>
      <c r="IO11" s="201"/>
      <c r="IP11" s="201"/>
      <c r="IQ11" s="201"/>
      <c r="IR11" s="201"/>
      <c r="IS11" s="201"/>
      <c r="IT11" s="201"/>
      <c r="IU11" s="201"/>
      <c r="IV11" s="201"/>
      <c r="IW11" s="201"/>
      <c r="IX11" s="201"/>
      <c r="IY11" s="201"/>
      <c r="IZ11" s="201"/>
      <c r="JA11" s="201"/>
      <c r="JB11" s="201"/>
      <c r="JC11" s="201"/>
      <c r="JD11" s="201"/>
      <c r="JE11" s="201"/>
      <c r="JF11" s="201"/>
      <c r="JG11" s="201"/>
      <c r="JH11" s="201"/>
      <c r="JI11" s="201"/>
      <c r="JJ11" s="201"/>
      <c r="JK11" s="201"/>
      <c r="JL11" s="201"/>
      <c r="JM11" s="201"/>
      <c r="JN11" s="201"/>
      <c r="JO11" s="201"/>
      <c r="JP11" s="201"/>
      <c r="JQ11" s="201"/>
      <c r="JR11" s="201"/>
      <c r="JS11" s="201"/>
      <c r="JT11" s="201"/>
      <c r="JU11" s="201"/>
      <c r="JV11" s="201"/>
      <c r="JW11" s="201"/>
      <c r="JX11" s="201"/>
      <c r="JY11" s="201"/>
      <c r="JZ11" s="201"/>
      <c r="KA11" s="201"/>
      <c r="KB11" s="201"/>
      <c r="KC11" s="201"/>
      <c r="KD11" s="201"/>
      <c r="KE11" s="201"/>
      <c r="KF11" s="201"/>
      <c r="KG11" s="201"/>
      <c r="KH11" s="201"/>
      <c r="KI11" s="201"/>
      <c r="KJ11" s="201"/>
      <c r="KK11" s="201"/>
      <c r="KL11" s="201"/>
      <c r="KM11" s="201"/>
      <c r="KN11" s="201"/>
      <c r="KO11" s="201"/>
      <c r="KP11" s="201"/>
      <c r="KQ11" s="201"/>
      <c r="KR11" s="201"/>
      <c r="KS11" s="201"/>
      <c r="KT11" s="201"/>
      <c r="KU11" s="201"/>
      <c r="KV11" s="201"/>
      <c r="KW11" s="201"/>
      <c r="KX11" s="201"/>
      <c r="KY11" s="201"/>
      <c r="KZ11" s="201"/>
      <c r="LA11" s="201"/>
      <c r="LB11" s="201"/>
      <c r="LC11" s="201"/>
      <c r="LD11" s="201"/>
      <c r="LE11" s="201"/>
      <c r="LF11" s="201"/>
      <c r="LG11" s="201"/>
      <c r="LH11" s="201"/>
      <c r="LI11" s="201"/>
      <c r="LJ11" s="201"/>
      <c r="LK11" s="201"/>
      <c r="LL11" s="201"/>
      <c r="LM11" s="201"/>
      <c r="LN11" s="201"/>
      <c r="LO11" s="201"/>
      <c r="LP11" s="201"/>
      <c r="LQ11" s="201"/>
      <c r="LR11" s="201"/>
      <c r="LS11" s="201"/>
      <c r="LT11" s="201"/>
      <c r="LU11" s="201"/>
      <c r="LV11" s="201"/>
      <c r="LW11" s="201"/>
      <c r="LX11" s="201"/>
      <c r="LY11" s="201"/>
      <c r="LZ11" s="201"/>
      <c r="MA11" s="201"/>
      <c r="MB11" s="201"/>
      <c r="MC11" s="201"/>
      <c r="MD11" s="201"/>
      <c r="ME11" s="201"/>
      <c r="MF11" s="201"/>
      <c r="MG11" s="201"/>
      <c r="MH11" s="201"/>
      <c r="MI11" s="201"/>
      <c r="MJ11" s="201"/>
      <c r="MK11" s="201"/>
      <c r="ML11" s="201"/>
      <c r="MM11" s="201"/>
      <c r="MN11" s="201"/>
      <c r="MO11" s="201"/>
      <c r="MP11" s="201"/>
      <c r="MQ11" s="201"/>
      <c r="MR11" s="201"/>
      <c r="MS11" s="201"/>
      <c r="MT11" s="201"/>
      <c r="MU11" s="201"/>
      <c r="MV11" s="201"/>
      <c r="MW11" s="201"/>
      <c r="MX11" s="201"/>
      <c r="MY11" s="201"/>
      <c r="MZ11" s="201"/>
      <c r="NA11" s="201"/>
      <c r="NB11" s="201"/>
      <c r="NC11" s="201"/>
      <c r="ND11" s="201"/>
      <c r="NE11" s="201"/>
      <c r="NF11" s="201"/>
      <c r="NG11" s="201"/>
      <c r="NH11" s="201"/>
      <c r="NI11" s="201"/>
      <c r="NJ11" s="201"/>
      <c r="NK11" s="201"/>
      <c r="NL11" s="201"/>
      <c r="NM11" s="201"/>
      <c r="NN11" s="201"/>
      <c r="NO11" s="201"/>
      <c r="NP11" s="201"/>
      <c r="NQ11" s="201"/>
      <c r="NR11" s="201"/>
      <c r="NS11" s="201"/>
      <c r="NT11" s="201"/>
      <c r="NU11" s="201"/>
      <c r="NV11" s="201"/>
      <c r="NW11" s="201"/>
      <c r="NX11" s="201"/>
      <c r="NY11" s="201"/>
      <c r="NZ11" s="201"/>
      <c r="OA11" s="201"/>
      <c r="OB11" s="201"/>
      <c r="OC11" s="201"/>
      <c r="OD11" s="201"/>
      <c r="OE11" s="201"/>
      <c r="OF11" s="201"/>
      <c r="OG11" s="201"/>
      <c r="OH11" s="201"/>
      <c r="OI11" s="201"/>
      <c r="OJ11" s="201"/>
      <c r="OK11" s="201"/>
      <c r="OL11" s="201"/>
      <c r="OM11" s="201"/>
      <c r="ON11" s="201"/>
      <c r="OO11" s="201"/>
      <c r="OP11" s="201"/>
      <c r="OQ11" s="201"/>
      <c r="OR11" s="201"/>
      <c r="OS11" s="201"/>
      <c r="OT11" s="201"/>
      <c r="OU11" s="201"/>
      <c r="OV11" s="201"/>
      <c r="OW11" s="201"/>
      <c r="OX11" s="201"/>
      <c r="OY11" s="201"/>
      <c r="OZ11" s="201"/>
      <c r="PA11" s="201"/>
      <c r="PB11" s="201"/>
      <c r="PC11" s="201"/>
      <c r="PD11" s="201"/>
      <c r="PE11" s="201"/>
      <c r="PF11" s="201"/>
      <c r="PG11" s="201"/>
      <c r="PH11" s="201"/>
      <c r="PI11" s="201"/>
      <c r="PJ11" s="201"/>
      <c r="PK11" s="201"/>
      <c r="PL11" s="201"/>
      <c r="PM11" s="201"/>
      <c r="PN11" s="201"/>
      <c r="PO11" s="201"/>
      <c r="PP11" s="201"/>
      <c r="PQ11" s="201"/>
      <c r="PR11" s="201"/>
      <c r="PS11" s="201"/>
      <c r="PT11" s="201"/>
      <c r="PU11" s="201"/>
      <c r="PV11" s="201"/>
      <c r="PW11" s="201"/>
      <c r="PX11" s="201"/>
      <c r="PY11" s="201"/>
      <c r="PZ11" s="201"/>
      <c r="QA11" s="201"/>
      <c r="QB11" s="201"/>
      <c r="QC11" s="201"/>
      <c r="QD11" s="201"/>
      <c r="QE11" s="201"/>
      <c r="QF11" s="201"/>
      <c r="QG11" s="201"/>
      <c r="QH11" s="201"/>
      <c r="QI11" s="201"/>
      <c r="QJ11" s="201"/>
      <c r="QK11" s="201"/>
      <c r="QL11" s="201"/>
      <c r="QM11" s="201"/>
      <c r="QN11" s="201"/>
      <c r="QO11" s="201"/>
      <c r="QP11" s="201"/>
      <c r="QQ11" s="201"/>
      <c r="QR11" s="201"/>
      <c r="QS11" s="201"/>
      <c r="QT11" s="201"/>
      <c r="QU11" s="201"/>
      <c r="QV11" s="201"/>
      <c r="QW11" s="201"/>
      <c r="QX11" s="201"/>
      <c r="QY11" s="201"/>
      <c r="QZ11" s="201"/>
      <c r="RA11" s="201"/>
      <c r="RB11" s="201"/>
      <c r="RC11" s="201"/>
      <c r="RD11" s="201"/>
      <c r="RE11" s="201"/>
      <c r="RF11" s="201"/>
      <c r="RG11" s="201"/>
      <c r="RH11" s="201"/>
      <c r="RI11" s="201"/>
      <c r="RJ11" s="201"/>
      <c r="RK11" s="201"/>
      <c r="RL11" s="201"/>
      <c r="RM11" s="201"/>
      <c r="RN11" s="201"/>
      <c r="RO11" s="201"/>
      <c r="RP11" s="201"/>
      <c r="RQ11" s="201"/>
      <c r="RR11" s="201"/>
      <c r="RS11" s="201"/>
      <c r="RT11" s="201"/>
      <c r="RU11" s="201"/>
      <c r="RV11" s="201"/>
      <c r="RW11" s="201"/>
      <c r="RX11" s="201"/>
      <c r="RY11" s="201"/>
      <c r="RZ11" s="201"/>
      <c r="SA11" s="201"/>
      <c r="SB11" s="201"/>
      <c r="SC11" s="201"/>
      <c r="SD11" s="201"/>
      <c r="SE11" s="201"/>
      <c r="SF11" s="201"/>
      <c r="SG11" s="201"/>
      <c r="SH11" s="201"/>
      <c r="SI11" s="201"/>
      <c r="SJ11" s="201"/>
      <c r="SK11" s="201"/>
      <c r="SL11" s="201"/>
      <c r="SM11" s="201"/>
      <c r="SN11" s="201"/>
      <c r="SO11" s="201"/>
      <c r="SP11" s="201"/>
      <c r="SQ11" s="201"/>
      <c r="SR11" s="201"/>
      <c r="SS11" s="201"/>
      <c r="ST11" s="201"/>
      <c r="SU11" s="201"/>
      <c r="SV11" s="201"/>
      <c r="SW11" s="201"/>
      <c r="SX11" s="201"/>
      <c r="SY11" s="201"/>
      <c r="SZ11" s="201"/>
      <c r="TA11" s="201"/>
      <c r="TB11" s="201"/>
      <c r="TC11" s="201"/>
      <c r="TD11" s="201"/>
      <c r="TE11" s="201"/>
      <c r="TF11" s="201"/>
      <c r="TG11" s="201"/>
      <c r="TH11" s="201"/>
      <c r="TI11" s="201"/>
      <c r="TJ11" s="201"/>
      <c r="TK11" s="201"/>
      <c r="TL11" s="201"/>
      <c r="TM11" s="201"/>
      <c r="TN11" s="201"/>
      <c r="TO11" s="201"/>
      <c r="TP11" s="201"/>
      <c r="TQ11" s="201"/>
      <c r="TR11" s="201"/>
      <c r="TS11" s="201"/>
      <c r="TT11" s="201"/>
      <c r="TU11" s="201"/>
      <c r="TV11" s="201"/>
      <c r="TW11" s="201"/>
      <c r="TX11" s="201"/>
      <c r="TY11" s="201"/>
      <c r="TZ11" s="201"/>
      <c r="UA11" s="201"/>
      <c r="UB11" s="201"/>
      <c r="UC11" s="201"/>
      <c r="UD11" s="201"/>
      <c r="UE11" s="201"/>
      <c r="UF11" s="201"/>
      <c r="UG11" s="201"/>
      <c r="UH11" s="201"/>
      <c r="UI11" s="201"/>
      <c r="UJ11" s="201"/>
      <c r="UK11" s="201"/>
      <c r="UL11" s="201"/>
      <c r="UM11" s="201"/>
      <c r="UN11" s="201"/>
      <c r="UO11" s="201"/>
      <c r="UP11" s="201"/>
      <c r="UQ11" s="201"/>
      <c r="UR11" s="201"/>
      <c r="US11" s="201"/>
      <c r="UT11" s="201"/>
      <c r="UU11" s="201"/>
      <c r="UV11" s="201"/>
      <c r="UW11" s="201"/>
      <c r="UX11" s="201"/>
      <c r="UY11" s="201"/>
      <c r="UZ11" s="201"/>
      <c r="VA11" s="201"/>
      <c r="VB11" s="201"/>
      <c r="VC11" s="201"/>
      <c r="VD11" s="201"/>
      <c r="VE11" s="201"/>
      <c r="VF11" s="201"/>
      <c r="VG11" s="201"/>
      <c r="VH11" s="201"/>
      <c r="VI11" s="201"/>
      <c r="VJ11" s="201"/>
      <c r="VK11" s="201"/>
      <c r="VL11" s="201"/>
      <c r="VM11" s="201"/>
      <c r="VN11" s="201"/>
      <c r="VO11" s="201"/>
      <c r="VP11" s="201"/>
      <c r="VQ11" s="201"/>
      <c r="VR11" s="201"/>
      <c r="VS11" s="201"/>
      <c r="VT11" s="201"/>
      <c r="VU11" s="201"/>
      <c r="VV11" s="201"/>
      <c r="VW11" s="201"/>
      <c r="VX11" s="201"/>
      <c r="VY11" s="201"/>
      <c r="VZ11" s="201"/>
      <c r="WA11" s="201"/>
      <c r="WB11" s="201"/>
      <c r="WC11" s="201"/>
      <c r="WD11" s="201"/>
      <c r="WE11" s="201"/>
      <c r="WF11" s="201"/>
      <c r="WG11" s="201"/>
      <c r="WH11" s="201"/>
      <c r="WI11" s="201"/>
      <c r="WJ11" s="201"/>
      <c r="WK11" s="201"/>
      <c r="WL11" s="201"/>
      <c r="WM11" s="201"/>
      <c r="WN11" s="201"/>
      <c r="WO11" s="201"/>
      <c r="WP11" s="201"/>
      <c r="WQ11" s="201"/>
      <c r="WR11" s="201"/>
      <c r="WS11" s="201"/>
      <c r="WT11" s="201"/>
      <c r="WU11" s="201"/>
      <c r="WV11" s="201"/>
      <c r="WW11" s="201"/>
      <c r="WX11" s="201"/>
      <c r="WY11" s="201"/>
      <c r="WZ11" s="201"/>
      <c r="XA11" s="201"/>
      <c r="XB11" s="201"/>
      <c r="XC11" s="201"/>
      <c r="XD11" s="201"/>
      <c r="XE11" s="201"/>
      <c r="XF11" s="201"/>
      <c r="XG11" s="201"/>
      <c r="XH11" s="201"/>
      <c r="XI11" s="201"/>
      <c r="XJ11" s="201"/>
      <c r="XK11" s="201"/>
      <c r="XL11" s="201"/>
      <c r="XM11" s="201"/>
      <c r="XN11" s="201"/>
      <c r="XO11" s="201"/>
      <c r="XP11" s="201"/>
      <c r="XQ11" s="201"/>
      <c r="XR11" s="201"/>
      <c r="XS11" s="201"/>
      <c r="XT11" s="201"/>
      <c r="XU11" s="201"/>
      <c r="XV11" s="201"/>
      <c r="XW11" s="201"/>
      <c r="XX11" s="201"/>
      <c r="XY11" s="201"/>
      <c r="XZ11" s="201"/>
      <c r="YA11" s="201"/>
      <c r="YB11" s="201"/>
      <c r="YC11" s="201"/>
      <c r="YD11" s="201"/>
      <c r="YE11" s="201"/>
      <c r="YF11" s="201"/>
      <c r="YG11" s="201"/>
      <c r="YH11" s="201"/>
      <c r="YI11" s="201"/>
      <c r="YJ11" s="201"/>
      <c r="YK11" s="201"/>
      <c r="YL11" s="201"/>
      <c r="YM11" s="201"/>
      <c r="YN11" s="201"/>
      <c r="YO11" s="201"/>
      <c r="YP11" s="201"/>
      <c r="YQ11" s="201"/>
      <c r="YR11" s="201"/>
      <c r="YS11" s="201"/>
      <c r="YT11" s="201"/>
      <c r="YU11" s="201"/>
      <c r="YV11" s="201"/>
      <c r="YW11" s="201"/>
      <c r="YX11" s="201"/>
      <c r="YY11" s="201"/>
      <c r="YZ11" s="201"/>
      <c r="ZA11" s="201"/>
      <c r="ZB11" s="201"/>
      <c r="ZC11" s="201"/>
      <c r="ZD11" s="201"/>
      <c r="ZE11" s="201"/>
      <c r="ZF11" s="201"/>
      <c r="ZG11" s="201"/>
      <c r="ZH11" s="201"/>
      <c r="ZI11" s="201"/>
      <c r="ZJ11" s="201"/>
      <c r="ZK11" s="201"/>
      <c r="ZL11" s="201"/>
      <c r="ZM11" s="201"/>
      <c r="ZN11" s="201"/>
      <c r="ZO11" s="201"/>
      <c r="ZP11" s="201"/>
      <c r="ZQ11" s="201"/>
      <c r="ZR11" s="201"/>
      <c r="ZS11" s="201"/>
      <c r="ZT11" s="201"/>
      <c r="ZU11" s="201"/>
      <c r="ZV11" s="201"/>
      <c r="ZW11" s="201"/>
    </row>
    <row r="12" spans="1:699" s="214" customFormat="1" ht="15.75" customHeight="1" thickBot="1" x14ac:dyDescent="0.25">
      <c r="A12" s="42"/>
      <c r="B12" s="219" t="s">
        <v>196</v>
      </c>
      <c r="C12" s="220">
        <v>2500000</v>
      </c>
      <c r="D12" s="220">
        <v>3100000</v>
      </c>
      <c r="E12" s="221">
        <v>2100000</v>
      </c>
      <c r="F12" s="218"/>
      <c r="G12" s="61"/>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E12" s="201"/>
      <c r="DF12" s="201"/>
      <c r="DG12" s="201"/>
      <c r="DH12" s="201"/>
      <c r="DI12" s="201"/>
      <c r="DJ12" s="201"/>
      <c r="DK12" s="201"/>
      <c r="DL12" s="201"/>
      <c r="DM12" s="201"/>
      <c r="DN12" s="201"/>
      <c r="DO12" s="201"/>
      <c r="DP12" s="201"/>
      <c r="DQ12" s="201"/>
      <c r="DR12" s="201"/>
      <c r="DS12" s="201"/>
      <c r="DT12" s="201"/>
      <c r="DU12" s="201"/>
      <c r="DV12" s="201"/>
      <c r="DW12" s="201"/>
      <c r="DX12" s="201"/>
      <c r="DY12" s="201"/>
      <c r="DZ12" s="201"/>
      <c r="EA12" s="201"/>
      <c r="EB12" s="201"/>
      <c r="EC12" s="201"/>
      <c r="ED12" s="201"/>
      <c r="EE12" s="201"/>
      <c r="EF12" s="201"/>
      <c r="EG12" s="201"/>
      <c r="EH12" s="201"/>
      <c r="EI12" s="201"/>
      <c r="EJ12" s="201"/>
      <c r="EK12" s="201"/>
      <c r="EL12" s="201"/>
      <c r="EM12" s="201"/>
      <c r="EN12" s="201"/>
      <c r="EO12" s="201"/>
      <c r="EP12" s="201"/>
      <c r="EQ12" s="201"/>
      <c r="ER12" s="201"/>
      <c r="ES12" s="201"/>
      <c r="ET12" s="201"/>
      <c r="EU12" s="201"/>
      <c r="EV12" s="201"/>
      <c r="EW12" s="201"/>
      <c r="EX12" s="201"/>
      <c r="EY12" s="201"/>
      <c r="EZ12" s="201"/>
      <c r="FA12" s="201"/>
      <c r="FB12" s="201"/>
      <c r="FC12" s="201"/>
      <c r="FD12" s="201"/>
      <c r="FE12" s="201"/>
      <c r="FF12" s="201"/>
      <c r="FG12" s="201"/>
      <c r="FH12" s="201"/>
      <c r="FI12" s="201"/>
      <c r="FJ12" s="201"/>
      <c r="FK12" s="201"/>
      <c r="FL12" s="201"/>
      <c r="FM12" s="201"/>
      <c r="FN12" s="201"/>
      <c r="FO12" s="201"/>
      <c r="FP12" s="201"/>
      <c r="FQ12" s="201"/>
      <c r="FR12" s="201"/>
      <c r="FS12" s="201"/>
      <c r="FT12" s="201"/>
      <c r="FU12" s="201"/>
      <c r="FV12" s="201"/>
      <c r="FW12" s="201"/>
      <c r="FX12" s="201"/>
      <c r="FY12" s="201"/>
      <c r="FZ12" s="201"/>
      <c r="GA12" s="201"/>
      <c r="GB12" s="201"/>
      <c r="GC12" s="201"/>
      <c r="GD12" s="201"/>
      <c r="GE12" s="201"/>
      <c r="GF12" s="201"/>
      <c r="GG12" s="201"/>
      <c r="GH12" s="201"/>
      <c r="GI12" s="201"/>
      <c r="GJ12" s="201"/>
      <c r="GK12" s="201"/>
      <c r="GL12" s="201"/>
      <c r="GM12" s="201"/>
      <c r="GN12" s="201"/>
      <c r="GO12" s="201"/>
      <c r="GP12" s="201"/>
      <c r="GQ12" s="201"/>
      <c r="GR12" s="201"/>
      <c r="GS12" s="201"/>
      <c r="GT12" s="201"/>
      <c r="GU12" s="201"/>
      <c r="GV12" s="201"/>
      <c r="GW12" s="201"/>
      <c r="GX12" s="201"/>
      <c r="GY12" s="201"/>
      <c r="GZ12" s="201"/>
      <c r="HA12" s="201"/>
      <c r="HB12" s="201"/>
      <c r="HC12" s="201"/>
      <c r="HD12" s="201"/>
      <c r="HE12" s="201"/>
      <c r="HF12" s="201"/>
      <c r="HG12" s="201"/>
      <c r="HH12" s="201"/>
      <c r="HI12" s="201"/>
      <c r="HJ12" s="201"/>
      <c r="HK12" s="201"/>
      <c r="HL12" s="201"/>
      <c r="HM12" s="201"/>
      <c r="HN12" s="201"/>
      <c r="HO12" s="201"/>
      <c r="HP12" s="201"/>
      <c r="HQ12" s="201"/>
      <c r="HR12" s="201"/>
      <c r="HS12" s="201"/>
      <c r="HT12" s="201"/>
      <c r="HU12" s="201"/>
      <c r="HV12" s="201"/>
      <c r="HW12" s="201"/>
      <c r="HX12" s="201"/>
      <c r="HY12" s="201"/>
      <c r="HZ12" s="201"/>
      <c r="IA12" s="201"/>
      <c r="IB12" s="201"/>
      <c r="IC12" s="201"/>
      <c r="ID12" s="201"/>
      <c r="IE12" s="201"/>
      <c r="IF12" s="201"/>
      <c r="IG12" s="201"/>
      <c r="IH12" s="201"/>
      <c r="II12" s="201"/>
      <c r="IJ12" s="201"/>
      <c r="IK12" s="201"/>
      <c r="IL12" s="201"/>
      <c r="IM12" s="201"/>
      <c r="IN12" s="201"/>
      <c r="IO12" s="201"/>
      <c r="IP12" s="201"/>
      <c r="IQ12" s="201"/>
      <c r="IR12" s="201"/>
      <c r="IS12" s="201"/>
      <c r="IT12" s="201"/>
      <c r="IU12" s="201"/>
      <c r="IV12" s="201"/>
      <c r="IW12" s="201"/>
      <c r="IX12" s="201"/>
      <c r="IY12" s="201"/>
      <c r="IZ12" s="201"/>
      <c r="JA12" s="201"/>
      <c r="JB12" s="201"/>
      <c r="JC12" s="201"/>
      <c r="JD12" s="201"/>
      <c r="JE12" s="201"/>
      <c r="JF12" s="201"/>
      <c r="JG12" s="201"/>
      <c r="JH12" s="201"/>
      <c r="JI12" s="201"/>
      <c r="JJ12" s="201"/>
      <c r="JK12" s="201"/>
      <c r="JL12" s="201"/>
      <c r="JM12" s="201"/>
      <c r="JN12" s="201"/>
      <c r="JO12" s="201"/>
      <c r="JP12" s="201"/>
      <c r="JQ12" s="201"/>
      <c r="JR12" s="201"/>
      <c r="JS12" s="201"/>
      <c r="JT12" s="201"/>
      <c r="JU12" s="201"/>
      <c r="JV12" s="201"/>
      <c r="JW12" s="201"/>
      <c r="JX12" s="201"/>
      <c r="JY12" s="201"/>
      <c r="JZ12" s="201"/>
      <c r="KA12" s="201"/>
      <c r="KB12" s="201"/>
      <c r="KC12" s="201"/>
      <c r="KD12" s="201"/>
      <c r="KE12" s="201"/>
      <c r="KF12" s="201"/>
      <c r="KG12" s="201"/>
      <c r="KH12" s="201"/>
      <c r="KI12" s="201"/>
      <c r="KJ12" s="201"/>
      <c r="KK12" s="201"/>
      <c r="KL12" s="201"/>
      <c r="KM12" s="201"/>
      <c r="KN12" s="201"/>
      <c r="KO12" s="201"/>
      <c r="KP12" s="201"/>
      <c r="KQ12" s="201"/>
      <c r="KR12" s="201"/>
      <c r="KS12" s="201"/>
      <c r="KT12" s="201"/>
      <c r="KU12" s="201"/>
      <c r="KV12" s="201"/>
      <c r="KW12" s="201"/>
      <c r="KX12" s="201"/>
      <c r="KY12" s="201"/>
      <c r="KZ12" s="201"/>
      <c r="LA12" s="201"/>
      <c r="LB12" s="201"/>
      <c r="LC12" s="201"/>
      <c r="LD12" s="201"/>
      <c r="LE12" s="201"/>
      <c r="LF12" s="201"/>
      <c r="LG12" s="201"/>
      <c r="LH12" s="201"/>
      <c r="LI12" s="201"/>
      <c r="LJ12" s="201"/>
      <c r="LK12" s="201"/>
      <c r="LL12" s="201"/>
      <c r="LM12" s="201"/>
      <c r="LN12" s="201"/>
      <c r="LO12" s="201"/>
      <c r="LP12" s="201"/>
      <c r="LQ12" s="201"/>
      <c r="LR12" s="201"/>
      <c r="LS12" s="201"/>
      <c r="LT12" s="201"/>
      <c r="LU12" s="201"/>
      <c r="LV12" s="201"/>
      <c r="LW12" s="201"/>
      <c r="LX12" s="201"/>
      <c r="LY12" s="201"/>
      <c r="LZ12" s="201"/>
      <c r="MA12" s="201"/>
      <c r="MB12" s="201"/>
      <c r="MC12" s="201"/>
      <c r="MD12" s="201"/>
      <c r="ME12" s="201"/>
      <c r="MF12" s="201"/>
      <c r="MG12" s="201"/>
      <c r="MH12" s="201"/>
      <c r="MI12" s="201"/>
      <c r="MJ12" s="201"/>
      <c r="MK12" s="201"/>
      <c r="ML12" s="201"/>
      <c r="MM12" s="201"/>
      <c r="MN12" s="201"/>
      <c r="MO12" s="201"/>
      <c r="MP12" s="201"/>
      <c r="MQ12" s="201"/>
      <c r="MR12" s="201"/>
      <c r="MS12" s="201"/>
      <c r="MT12" s="201"/>
      <c r="MU12" s="201"/>
      <c r="MV12" s="201"/>
      <c r="MW12" s="201"/>
      <c r="MX12" s="201"/>
      <c r="MY12" s="201"/>
      <c r="MZ12" s="201"/>
      <c r="NA12" s="201"/>
      <c r="NB12" s="201"/>
      <c r="NC12" s="201"/>
      <c r="ND12" s="201"/>
      <c r="NE12" s="201"/>
      <c r="NF12" s="201"/>
      <c r="NG12" s="201"/>
      <c r="NH12" s="201"/>
      <c r="NI12" s="201"/>
      <c r="NJ12" s="201"/>
      <c r="NK12" s="201"/>
      <c r="NL12" s="201"/>
      <c r="NM12" s="201"/>
      <c r="NN12" s="201"/>
      <c r="NO12" s="201"/>
      <c r="NP12" s="201"/>
      <c r="NQ12" s="201"/>
      <c r="NR12" s="201"/>
      <c r="NS12" s="201"/>
      <c r="NT12" s="201"/>
      <c r="NU12" s="201"/>
      <c r="NV12" s="201"/>
      <c r="NW12" s="201"/>
      <c r="NX12" s="201"/>
      <c r="NY12" s="201"/>
      <c r="NZ12" s="201"/>
      <c r="OA12" s="201"/>
      <c r="OB12" s="201"/>
      <c r="OC12" s="201"/>
      <c r="OD12" s="201"/>
      <c r="OE12" s="201"/>
      <c r="OF12" s="201"/>
      <c r="OG12" s="201"/>
      <c r="OH12" s="201"/>
      <c r="OI12" s="201"/>
      <c r="OJ12" s="201"/>
      <c r="OK12" s="201"/>
      <c r="OL12" s="201"/>
      <c r="OM12" s="201"/>
      <c r="ON12" s="201"/>
      <c r="OO12" s="201"/>
      <c r="OP12" s="201"/>
      <c r="OQ12" s="201"/>
      <c r="OR12" s="201"/>
      <c r="OS12" s="201"/>
      <c r="OT12" s="201"/>
      <c r="OU12" s="201"/>
      <c r="OV12" s="201"/>
      <c r="OW12" s="201"/>
      <c r="OX12" s="201"/>
      <c r="OY12" s="201"/>
      <c r="OZ12" s="201"/>
      <c r="PA12" s="201"/>
      <c r="PB12" s="201"/>
      <c r="PC12" s="201"/>
      <c r="PD12" s="201"/>
      <c r="PE12" s="201"/>
      <c r="PF12" s="201"/>
      <c r="PG12" s="201"/>
      <c r="PH12" s="201"/>
      <c r="PI12" s="201"/>
      <c r="PJ12" s="201"/>
      <c r="PK12" s="201"/>
      <c r="PL12" s="201"/>
      <c r="PM12" s="201"/>
      <c r="PN12" s="201"/>
      <c r="PO12" s="201"/>
      <c r="PP12" s="201"/>
      <c r="PQ12" s="201"/>
      <c r="PR12" s="201"/>
      <c r="PS12" s="201"/>
      <c r="PT12" s="201"/>
      <c r="PU12" s="201"/>
      <c r="PV12" s="201"/>
      <c r="PW12" s="201"/>
      <c r="PX12" s="201"/>
      <c r="PY12" s="201"/>
      <c r="PZ12" s="201"/>
      <c r="QA12" s="201"/>
      <c r="QB12" s="201"/>
      <c r="QC12" s="201"/>
      <c r="QD12" s="201"/>
      <c r="QE12" s="201"/>
      <c r="QF12" s="201"/>
      <c r="QG12" s="201"/>
      <c r="QH12" s="201"/>
      <c r="QI12" s="201"/>
      <c r="QJ12" s="201"/>
      <c r="QK12" s="201"/>
      <c r="QL12" s="201"/>
      <c r="QM12" s="201"/>
      <c r="QN12" s="201"/>
      <c r="QO12" s="201"/>
      <c r="QP12" s="201"/>
      <c r="QQ12" s="201"/>
      <c r="QR12" s="201"/>
      <c r="QS12" s="201"/>
      <c r="QT12" s="201"/>
      <c r="QU12" s="201"/>
      <c r="QV12" s="201"/>
      <c r="QW12" s="201"/>
      <c r="QX12" s="201"/>
      <c r="QY12" s="201"/>
      <c r="QZ12" s="201"/>
      <c r="RA12" s="201"/>
      <c r="RB12" s="201"/>
      <c r="RC12" s="201"/>
      <c r="RD12" s="201"/>
      <c r="RE12" s="201"/>
      <c r="RF12" s="201"/>
      <c r="RG12" s="201"/>
      <c r="RH12" s="201"/>
      <c r="RI12" s="201"/>
      <c r="RJ12" s="201"/>
      <c r="RK12" s="201"/>
      <c r="RL12" s="201"/>
      <c r="RM12" s="201"/>
      <c r="RN12" s="201"/>
      <c r="RO12" s="201"/>
      <c r="RP12" s="201"/>
      <c r="RQ12" s="201"/>
      <c r="RR12" s="201"/>
      <c r="RS12" s="201"/>
      <c r="RT12" s="201"/>
      <c r="RU12" s="201"/>
      <c r="RV12" s="201"/>
      <c r="RW12" s="201"/>
      <c r="RX12" s="201"/>
      <c r="RY12" s="201"/>
      <c r="RZ12" s="201"/>
      <c r="SA12" s="201"/>
      <c r="SB12" s="201"/>
      <c r="SC12" s="201"/>
      <c r="SD12" s="201"/>
      <c r="SE12" s="201"/>
      <c r="SF12" s="201"/>
      <c r="SG12" s="201"/>
      <c r="SH12" s="201"/>
      <c r="SI12" s="201"/>
      <c r="SJ12" s="201"/>
      <c r="SK12" s="201"/>
      <c r="SL12" s="201"/>
      <c r="SM12" s="201"/>
      <c r="SN12" s="201"/>
      <c r="SO12" s="201"/>
      <c r="SP12" s="201"/>
      <c r="SQ12" s="201"/>
      <c r="SR12" s="201"/>
      <c r="SS12" s="201"/>
      <c r="ST12" s="201"/>
      <c r="SU12" s="201"/>
      <c r="SV12" s="201"/>
      <c r="SW12" s="201"/>
      <c r="SX12" s="201"/>
      <c r="SY12" s="201"/>
      <c r="SZ12" s="201"/>
      <c r="TA12" s="201"/>
      <c r="TB12" s="201"/>
      <c r="TC12" s="201"/>
      <c r="TD12" s="201"/>
      <c r="TE12" s="201"/>
      <c r="TF12" s="201"/>
      <c r="TG12" s="201"/>
      <c r="TH12" s="201"/>
      <c r="TI12" s="201"/>
      <c r="TJ12" s="201"/>
      <c r="TK12" s="201"/>
      <c r="TL12" s="201"/>
      <c r="TM12" s="201"/>
      <c r="TN12" s="201"/>
      <c r="TO12" s="201"/>
      <c r="TP12" s="201"/>
      <c r="TQ12" s="201"/>
      <c r="TR12" s="201"/>
      <c r="TS12" s="201"/>
      <c r="TT12" s="201"/>
      <c r="TU12" s="201"/>
      <c r="TV12" s="201"/>
      <c r="TW12" s="201"/>
      <c r="TX12" s="201"/>
      <c r="TY12" s="201"/>
      <c r="TZ12" s="201"/>
      <c r="UA12" s="201"/>
      <c r="UB12" s="201"/>
      <c r="UC12" s="201"/>
      <c r="UD12" s="201"/>
      <c r="UE12" s="201"/>
      <c r="UF12" s="201"/>
      <c r="UG12" s="201"/>
      <c r="UH12" s="201"/>
      <c r="UI12" s="201"/>
      <c r="UJ12" s="201"/>
      <c r="UK12" s="201"/>
      <c r="UL12" s="201"/>
      <c r="UM12" s="201"/>
      <c r="UN12" s="201"/>
      <c r="UO12" s="201"/>
      <c r="UP12" s="201"/>
      <c r="UQ12" s="201"/>
      <c r="UR12" s="201"/>
      <c r="US12" s="201"/>
      <c r="UT12" s="201"/>
      <c r="UU12" s="201"/>
      <c r="UV12" s="201"/>
      <c r="UW12" s="201"/>
      <c r="UX12" s="201"/>
      <c r="UY12" s="201"/>
      <c r="UZ12" s="201"/>
      <c r="VA12" s="201"/>
      <c r="VB12" s="201"/>
      <c r="VC12" s="201"/>
      <c r="VD12" s="201"/>
      <c r="VE12" s="201"/>
      <c r="VF12" s="201"/>
      <c r="VG12" s="201"/>
      <c r="VH12" s="201"/>
      <c r="VI12" s="201"/>
      <c r="VJ12" s="201"/>
      <c r="VK12" s="201"/>
      <c r="VL12" s="201"/>
      <c r="VM12" s="201"/>
      <c r="VN12" s="201"/>
      <c r="VO12" s="201"/>
      <c r="VP12" s="201"/>
      <c r="VQ12" s="201"/>
      <c r="VR12" s="201"/>
      <c r="VS12" s="201"/>
      <c r="VT12" s="201"/>
      <c r="VU12" s="201"/>
      <c r="VV12" s="201"/>
      <c r="VW12" s="201"/>
      <c r="VX12" s="201"/>
      <c r="VY12" s="201"/>
      <c r="VZ12" s="201"/>
      <c r="WA12" s="201"/>
      <c r="WB12" s="201"/>
      <c r="WC12" s="201"/>
      <c r="WD12" s="201"/>
      <c r="WE12" s="201"/>
      <c r="WF12" s="201"/>
      <c r="WG12" s="201"/>
      <c r="WH12" s="201"/>
      <c r="WI12" s="201"/>
      <c r="WJ12" s="201"/>
      <c r="WK12" s="201"/>
      <c r="WL12" s="201"/>
      <c r="WM12" s="201"/>
      <c r="WN12" s="201"/>
      <c r="WO12" s="201"/>
      <c r="WP12" s="201"/>
      <c r="WQ12" s="201"/>
      <c r="WR12" s="201"/>
      <c r="WS12" s="201"/>
      <c r="WT12" s="201"/>
      <c r="WU12" s="201"/>
      <c r="WV12" s="201"/>
      <c r="WW12" s="201"/>
      <c r="WX12" s="201"/>
      <c r="WY12" s="201"/>
      <c r="WZ12" s="201"/>
      <c r="XA12" s="201"/>
      <c r="XB12" s="201"/>
      <c r="XC12" s="201"/>
      <c r="XD12" s="201"/>
      <c r="XE12" s="201"/>
      <c r="XF12" s="201"/>
      <c r="XG12" s="201"/>
      <c r="XH12" s="201"/>
      <c r="XI12" s="201"/>
      <c r="XJ12" s="201"/>
      <c r="XK12" s="201"/>
      <c r="XL12" s="201"/>
      <c r="XM12" s="201"/>
      <c r="XN12" s="201"/>
      <c r="XO12" s="201"/>
      <c r="XP12" s="201"/>
      <c r="XQ12" s="201"/>
      <c r="XR12" s="201"/>
      <c r="XS12" s="201"/>
      <c r="XT12" s="201"/>
      <c r="XU12" s="201"/>
      <c r="XV12" s="201"/>
      <c r="XW12" s="201"/>
      <c r="XX12" s="201"/>
      <c r="XY12" s="201"/>
      <c r="XZ12" s="201"/>
      <c r="YA12" s="201"/>
      <c r="YB12" s="201"/>
      <c r="YC12" s="201"/>
      <c r="YD12" s="201"/>
      <c r="YE12" s="201"/>
      <c r="YF12" s="201"/>
      <c r="YG12" s="201"/>
      <c r="YH12" s="201"/>
      <c r="YI12" s="201"/>
      <c r="YJ12" s="201"/>
      <c r="YK12" s="201"/>
      <c r="YL12" s="201"/>
      <c r="YM12" s="201"/>
      <c r="YN12" s="201"/>
      <c r="YO12" s="201"/>
      <c r="YP12" s="201"/>
      <c r="YQ12" s="201"/>
      <c r="YR12" s="201"/>
      <c r="YS12" s="201"/>
      <c r="YT12" s="201"/>
      <c r="YU12" s="201"/>
      <c r="YV12" s="201"/>
      <c r="YW12" s="201"/>
      <c r="YX12" s="201"/>
      <c r="YY12" s="201"/>
      <c r="YZ12" s="201"/>
      <c r="ZA12" s="201"/>
      <c r="ZB12" s="201"/>
      <c r="ZC12" s="201"/>
      <c r="ZD12" s="201"/>
      <c r="ZE12" s="201"/>
      <c r="ZF12" s="201"/>
      <c r="ZG12" s="201"/>
      <c r="ZH12" s="201"/>
      <c r="ZI12" s="201"/>
      <c r="ZJ12" s="201"/>
      <c r="ZK12" s="201"/>
      <c r="ZL12" s="201"/>
      <c r="ZM12" s="201"/>
      <c r="ZN12" s="201"/>
      <c r="ZO12" s="201"/>
      <c r="ZP12" s="201"/>
      <c r="ZQ12" s="201"/>
      <c r="ZR12" s="201"/>
      <c r="ZS12" s="201"/>
      <c r="ZT12" s="201"/>
      <c r="ZU12" s="201"/>
      <c r="ZV12" s="201"/>
      <c r="ZW12" s="201"/>
    </row>
    <row r="13" spans="1:699" ht="15.75" customHeight="1" thickBot="1" x14ac:dyDescent="0.25">
      <c r="A13" s="42"/>
      <c r="B13" s="213"/>
      <c r="C13" s="209"/>
      <c r="D13" s="209"/>
      <c r="E13" s="209"/>
      <c r="F13" s="210"/>
      <c r="G13" s="61"/>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row>
    <row r="14" spans="1:699" ht="15.75" customHeight="1" x14ac:dyDescent="0.2">
      <c r="A14" s="42"/>
      <c r="B14" s="226" t="s">
        <v>197</v>
      </c>
      <c r="C14" s="227"/>
      <c r="D14" s="227"/>
      <c r="E14" s="228"/>
      <c r="F14" s="210"/>
      <c r="G14" s="61"/>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row>
    <row r="15" spans="1:699" ht="15.75" customHeight="1" thickBot="1" x14ac:dyDescent="0.25">
      <c r="A15" s="42"/>
      <c r="B15" s="230" t="s">
        <v>182</v>
      </c>
      <c r="C15" s="231">
        <v>12</v>
      </c>
      <c r="D15" s="231">
        <v>24</v>
      </c>
      <c r="E15" s="232">
        <v>36</v>
      </c>
      <c r="F15" s="210"/>
      <c r="G15" s="61"/>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214"/>
      <c r="CV15" s="214"/>
      <c r="CW15" s="214"/>
      <c r="CX15" s="214"/>
      <c r="CY15" s="214"/>
      <c r="CZ15" s="214"/>
      <c r="DA15" s="214"/>
      <c r="DB15" s="214"/>
      <c r="DC15" s="214"/>
      <c r="DD15" s="214"/>
      <c r="DE15" s="214"/>
      <c r="DF15" s="214"/>
      <c r="DG15" s="214"/>
      <c r="DH15" s="214"/>
      <c r="DI15" s="214"/>
      <c r="DJ15" s="214"/>
      <c r="DK15" s="214"/>
      <c r="DL15" s="214"/>
      <c r="DM15" s="214"/>
      <c r="DN15" s="214"/>
      <c r="DO15" s="214"/>
      <c r="DP15" s="214"/>
      <c r="DQ15" s="214"/>
      <c r="DR15" s="214"/>
      <c r="DS15" s="214"/>
      <c r="DT15" s="214"/>
      <c r="DU15" s="214"/>
      <c r="DV15" s="214"/>
      <c r="DW15" s="214"/>
      <c r="DX15" s="214"/>
      <c r="DY15" s="214"/>
      <c r="DZ15" s="214"/>
      <c r="EA15" s="214"/>
      <c r="EB15" s="214"/>
      <c r="EC15" s="214"/>
      <c r="ED15" s="214"/>
      <c r="EE15" s="214"/>
      <c r="EF15" s="214"/>
      <c r="EG15" s="214"/>
      <c r="EH15" s="214"/>
      <c r="EI15" s="214"/>
      <c r="EJ15" s="214"/>
      <c r="EK15" s="214"/>
      <c r="EL15" s="214"/>
      <c r="EM15" s="214"/>
      <c r="EN15" s="214"/>
      <c r="EO15" s="214"/>
      <c r="EP15" s="214"/>
      <c r="EQ15" s="214"/>
      <c r="ER15" s="214"/>
      <c r="ES15" s="214"/>
      <c r="ET15" s="214"/>
      <c r="EU15" s="214"/>
      <c r="EV15" s="214"/>
      <c r="EW15" s="214"/>
      <c r="EX15" s="214"/>
      <c r="EY15" s="214"/>
      <c r="EZ15" s="214"/>
      <c r="FA15" s="214"/>
      <c r="FB15" s="214"/>
      <c r="FC15" s="214"/>
      <c r="FD15" s="214"/>
      <c r="FE15" s="214"/>
      <c r="FF15" s="214"/>
      <c r="FG15" s="214"/>
      <c r="FH15" s="214"/>
      <c r="FI15" s="214"/>
      <c r="FJ15" s="214"/>
      <c r="FK15" s="214"/>
      <c r="FL15" s="214"/>
      <c r="FM15" s="214"/>
      <c r="FN15" s="214"/>
      <c r="FO15" s="214"/>
      <c r="FP15" s="214"/>
      <c r="FQ15" s="214"/>
      <c r="FR15" s="214"/>
      <c r="FS15" s="214"/>
      <c r="FT15" s="214"/>
      <c r="FU15" s="214"/>
      <c r="FV15" s="214"/>
      <c r="FW15" s="214"/>
      <c r="FX15" s="214"/>
      <c r="FY15" s="214"/>
      <c r="FZ15" s="214"/>
      <c r="GA15" s="214"/>
      <c r="GB15" s="214"/>
      <c r="GC15" s="214"/>
      <c r="GD15" s="214"/>
      <c r="GE15" s="214"/>
      <c r="GF15" s="214"/>
      <c r="GG15" s="214"/>
      <c r="GH15" s="214"/>
      <c r="GI15" s="214"/>
      <c r="GJ15" s="214"/>
      <c r="GK15" s="214"/>
      <c r="GL15" s="214"/>
      <c r="GM15" s="214"/>
      <c r="GN15" s="214"/>
      <c r="GO15" s="214"/>
      <c r="GP15" s="214"/>
      <c r="GQ15" s="214"/>
      <c r="GR15" s="214"/>
      <c r="GS15" s="214"/>
      <c r="GT15" s="214"/>
      <c r="GU15" s="214"/>
      <c r="GV15" s="214"/>
      <c r="GW15" s="214"/>
      <c r="GX15" s="214"/>
      <c r="GY15" s="214"/>
      <c r="GZ15" s="214"/>
      <c r="HA15" s="214"/>
      <c r="HB15" s="214"/>
      <c r="HC15" s="214"/>
      <c r="HD15" s="214"/>
      <c r="HE15" s="214"/>
      <c r="HF15" s="214"/>
      <c r="HG15" s="214"/>
      <c r="HH15" s="214"/>
      <c r="HI15" s="214"/>
      <c r="HJ15" s="214"/>
      <c r="HK15" s="214"/>
      <c r="HL15" s="214"/>
      <c r="HM15" s="214"/>
      <c r="HN15" s="214"/>
      <c r="HO15" s="214"/>
      <c r="HP15" s="214"/>
      <c r="HQ15" s="214"/>
      <c r="HR15" s="214"/>
      <c r="HS15" s="214"/>
      <c r="HT15" s="214"/>
      <c r="HU15" s="214"/>
      <c r="HV15" s="214"/>
      <c r="HW15" s="214"/>
      <c r="HX15" s="214"/>
      <c r="HY15" s="214"/>
      <c r="HZ15" s="214"/>
      <c r="IA15" s="214"/>
      <c r="IB15" s="214"/>
      <c r="IC15" s="214"/>
      <c r="ID15" s="214"/>
      <c r="IE15" s="214"/>
      <c r="IF15" s="214"/>
      <c r="IG15" s="214"/>
      <c r="IH15" s="214"/>
      <c r="II15" s="214"/>
      <c r="IJ15" s="214"/>
      <c r="IK15" s="214"/>
      <c r="IL15" s="214"/>
      <c r="IM15" s="214"/>
      <c r="IN15" s="214"/>
      <c r="IO15" s="214"/>
      <c r="IP15" s="214"/>
      <c r="IQ15" s="214"/>
      <c r="IR15" s="214"/>
      <c r="IS15" s="214"/>
      <c r="IT15" s="214"/>
      <c r="IU15" s="214"/>
      <c r="IV15" s="214"/>
      <c r="IW15" s="214"/>
      <c r="IX15" s="214"/>
      <c r="IY15" s="214"/>
      <c r="IZ15" s="214"/>
      <c r="JA15" s="214"/>
      <c r="JB15" s="214"/>
      <c r="JC15" s="214"/>
      <c r="JD15" s="214"/>
      <c r="JE15" s="214"/>
      <c r="JF15" s="214"/>
      <c r="JG15" s="214"/>
      <c r="JH15" s="214"/>
      <c r="JI15" s="214"/>
      <c r="JJ15" s="214"/>
      <c r="JK15" s="214"/>
      <c r="JL15" s="214"/>
      <c r="JM15" s="214"/>
      <c r="JN15" s="214"/>
      <c r="JO15" s="214"/>
      <c r="JP15" s="214"/>
      <c r="JQ15" s="214"/>
      <c r="JR15" s="214"/>
      <c r="JS15" s="214"/>
      <c r="JT15" s="214"/>
      <c r="JU15" s="214"/>
      <c r="JV15" s="214"/>
      <c r="JW15" s="214"/>
      <c r="JX15" s="214"/>
      <c r="JY15" s="214"/>
      <c r="JZ15" s="214"/>
      <c r="KA15" s="214"/>
      <c r="KB15" s="214"/>
      <c r="KC15" s="214"/>
      <c r="KD15" s="214"/>
      <c r="KE15" s="214"/>
      <c r="KF15" s="214"/>
      <c r="KG15" s="214"/>
      <c r="KH15" s="214"/>
      <c r="KI15" s="214"/>
      <c r="KJ15" s="214"/>
      <c r="KK15" s="214"/>
      <c r="KL15" s="214"/>
      <c r="KM15" s="214"/>
      <c r="KN15" s="214"/>
      <c r="KO15" s="214"/>
      <c r="KP15" s="214"/>
      <c r="KQ15" s="214"/>
      <c r="KR15" s="214"/>
      <c r="KS15" s="214"/>
      <c r="KT15" s="214"/>
      <c r="KU15" s="214"/>
      <c r="KV15" s="214"/>
      <c r="KW15" s="214"/>
      <c r="KX15" s="214"/>
      <c r="KY15" s="214"/>
      <c r="KZ15" s="214"/>
      <c r="LA15" s="214"/>
      <c r="LB15" s="214"/>
      <c r="LC15" s="214"/>
      <c r="LD15" s="214"/>
      <c r="LE15" s="214"/>
      <c r="LF15" s="214"/>
      <c r="LG15" s="214"/>
      <c r="LH15" s="214"/>
      <c r="LI15" s="214"/>
      <c r="LJ15" s="214"/>
      <c r="LK15" s="214"/>
      <c r="LL15" s="214"/>
      <c r="LM15" s="214"/>
      <c r="LN15" s="214"/>
      <c r="LO15" s="214"/>
      <c r="LP15" s="214"/>
      <c r="LQ15" s="214"/>
      <c r="LR15" s="214"/>
      <c r="LS15" s="214"/>
      <c r="LT15" s="214"/>
      <c r="LU15" s="214"/>
      <c r="LV15" s="214"/>
      <c r="LW15" s="214"/>
      <c r="LX15" s="214"/>
      <c r="LY15" s="214"/>
      <c r="LZ15" s="214"/>
      <c r="MA15" s="214"/>
      <c r="MB15" s="214"/>
      <c r="MC15" s="214"/>
      <c r="MD15" s="214"/>
      <c r="ME15" s="214"/>
      <c r="MF15" s="214"/>
      <c r="MG15" s="214"/>
      <c r="MH15" s="214"/>
      <c r="MI15" s="214"/>
      <c r="MJ15" s="214"/>
      <c r="MK15" s="214"/>
      <c r="ML15" s="214"/>
      <c r="MM15" s="214"/>
      <c r="MN15" s="214"/>
      <c r="MO15" s="214"/>
      <c r="MP15" s="214"/>
      <c r="MQ15" s="214"/>
      <c r="MR15" s="214"/>
      <c r="MS15" s="214"/>
      <c r="MT15" s="214"/>
      <c r="MU15" s="214"/>
      <c r="MV15" s="214"/>
      <c r="MW15" s="214"/>
      <c r="MX15" s="214"/>
      <c r="MY15" s="214"/>
      <c r="MZ15" s="214"/>
      <c r="NA15" s="214"/>
      <c r="NB15" s="214"/>
      <c r="NC15" s="214"/>
      <c r="ND15" s="214"/>
      <c r="NE15" s="214"/>
      <c r="NF15" s="214"/>
      <c r="NG15" s="214"/>
      <c r="NH15" s="214"/>
      <c r="NI15" s="214"/>
      <c r="NJ15" s="214"/>
      <c r="NK15" s="214"/>
      <c r="NL15" s="214"/>
      <c r="NM15" s="214"/>
      <c r="NN15" s="214"/>
      <c r="NO15" s="214"/>
      <c r="NP15" s="214"/>
      <c r="NQ15" s="214"/>
      <c r="NR15" s="214"/>
      <c r="NS15" s="214"/>
      <c r="NT15" s="214"/>
      <c r="NU15" s="214"/>
      <c r="NV15" s="214"/>
      <c r="NW15" s="214"/>
      <c r="NX15" s="214"/>
      <c r="NY15" s="214"/>
      <c r="NZ15" s="214"/>
      <c r="OA15" s="214"/>
      <c r="OB15" s="214"/>
      <c r="OC15" s="214"/>
      <c r="OD15" s="214"/>
      <c r="OE15" s="214"/>
      <c r="OF15" s="214"/>
      <c r="OG15" s="214"/>
      <c r="OH15" s="214"/>
      <c r="OI15" s="214"/>
      <c r="OJ15" s="214"/>
      <c r="OK15" s="214"/>
      <c r="OL15" s="214"/>
      <c r="OM15" s="214"/>
      <c r="ON15" s="214"/>
      <c r="OO15" s="214"/>
      <c r="OP15" s="214"/>
      <c r="OQ15" s="214"/>
      <c r="OR15" s="214"/>
      <c r="OS15" s="214"/>
      <c r="OT15" s="214"/>
      <c r="OU15" s="214"/>
      <c r="OV15" s="214"/>
      <c r="OW15" s="214"/>
      <c r="OX15" s="214"/>
      <c r="OY15" s="214"/>
      <c r="OZ15" s="214"/>
      <c r="PA15" s="214"/>
      <c r="PB15" s="214"/>
      <c r="PC15" s="214"/>
      <c r="PD15" s="214"/>
      <c r="PE15" s="214"/>
      <c r="PF15" s="214"/>
      <c r="PG15" s="214"/>
      <c r="PH15" s="214"/>
      <c r="PI15" s="214"/>
      <c r="PJ15" s="214"/>
      <c r="PK15" s="214"/>
      <c r="PL15" s="214"/>
      <c r="PM15" s="214"/>
      <c r="PN15" s="214"/>
      <c r="PO15" s="214"/>
      <c r="PP15" s="214"/>
      <c r="PQ15" s="214"/>
      <c r="PR15" s="214"/>
      <c r="PS15" s="214"/>
      <c r="PT15" s="214"/>
      <c r="PU15" s="214"/>
      <c r="PV15" s="214"/>
      <c r="PW15" s="214"/>
      <c r="PX15" s="214"/>
      <c r="PY15" s="214"/>
      <c r="PZ15" s="214"/>
      <c r="QA15" s="214"/>
      <c r="QB15" s="214"/>
      <c r="QC15" s="214"/>
      <c r="QD15" s="214"/>
      <c r="QE15" s="214"/>
      <c r="QF15" s="214"/>
      <c r="QG15" s="214"/>
      <c r="QH15" s="214"/>
      <c r="QI15" s="214"/>
      <c r="QJ15" s="214"/>
      <c r="QK15" s="214"/>
      <c r="QL15" s="214"/>
      <c r="QM15" s="214"/>
      <c r="QN15" s="214"/>
      <c r="QO15" s="214"/>
      <c r="QP15" s="214"/>
      <c r="QQ15" s="214"/>
      <c r="QR15" s="214"/>
      <c r="QS15" s="214"/>
      <c r="QT15" s="214"/>
      <c r="QU15" s="214"/>
      <c r="QV15" s="214"/>
      <c r="QW15" s="214"/>
      <c r="QX15" s="214"/>
      <c r="QY15" s="214"/>
      <c r="QZ15" s="214"/>
      <c r="RA15" s="214"/>
      <c r="RB15" s="214"/>
      <c r="RC15" s="214"/>
      <c r="RD15" s="214"/>
      <c r="RE15" s="214"/>
      <c r="RF15" s="214"/>
      <c r="RG15" s="214"/>
      <c r="RH15" s="214"/>
      <c r="RI15" s="214"/>
      <c r="RJ15" s="214"/>
      <c r="RK15" s="214"/>
      <c r="RL15" s="214"/>
      <c r="RM15" s="214"/>
      <c r="RN15" s="214"/>
      <c r="RO15" s="214"/>
      <c r="RP15" s="214"/>
      <c r="RQ15" s="214"/>
      <c r="RR15" s="214"/>
      <c r="RS15" s="214"/>
      <c r="RT15" s="214"/>
      <c r="RU15" s="214"/>
      <c r="RV15" s="214"/>
      <c r="RW15" s="214"/>
      <c r="RX15" s="214"/>
      <c r="RY15" s="214"/>
      <c r="RZ15" s="214"/>
      <c r="SA15" s="214"/>
      <c r="SB15" s="214"/>
      <c r="SC15" s="214"/>
      <c r="SD15" s="214"/>
      <c r="SE15" s="214"/>
      <c r="SF15" s="214"/>
      <c r="SG15" s="214"/>
      <c r="SH15" s="214"/>
      <c r="SI15" s="214"/>
      <c r="SJ15" s="214"/>
      <c r="SK15" s="214"/>
      <c r="SL15" s="214"/>
      <c r="SM15" s="214"/>
      <c r="SN15" s="214"/>
      <c r="SO15" s="214"/>
      <c r="SP15" s="214"/>
      <c r="SQ15" s="214"/>
      <c r="SR15" s="214"/>
      <c r="SS15" s="214"/>
      <c r="ST15" s="214"/>
      <c r="SU15" s="214"/>
      <c r="SV15" s="214"/>
      <c r="SW15" s="214"/>
      <c r="SX15" s="214"/>
      <c r="SY15" s="214"/>
      <c r="SZ15" s="214"/>
      <c r="TA15" s="214"/>
      <c r="TB15" s="214"/>
      <c r="TC15" s="214"/>
      <c r="TD15" s="214"/>
      <c r="TE15" s="214"/>
      <c r="TF15" s="214"/>
      <c r="TG15" s="214"/>
      <c r="TH15" s="214"/>
      <c r="TI15" s="214"/>
      <c r="TJ15" s="214"/>
      <c r="TK15" s="214"/>
      <c r="TL15" s="214"/>
      <c r="TM15" s="214"/>
      <c r="TN15" s="214"/>
      <c r="TO15" s="214"/>
      <c r="TP15" s="214"/>
      <c r="TQ15" s="214"/>
      <c r="TR15" s="214"/>
      <c r="TS15" s="214"/>
      <c r="TT15" s="214"/>
      <c r="TU15" s="214"/>
      <c r="TV15" s="214"/>
      <c r="TW15" s="214"/>
      <c r="TX15" s="214"/>
      <c r="TY15" s="214"/>
      <c r="TZ15" s="214"/>
      <c r="UA15" s="214"/>
      <c r="UB15" s="214"/>
      <c r="UC15" s="214"/>
      <c r="UD15" s="214"/>
      <c r="UE15" s="214"/>
      <c r="UF15" s="214"/>
      <c r="UG15" s="214"/>
      <c r="UH15" s="214"/>
      <c r="UI15" s="214"/>
      <c r="UJ15" s="214"/>
      <c r="UK15" s="214"/>
      <c r="UL15" s="214"/>
      <c r="UM15" s="214"/>
      <c r="UN15" s="214"/>
      <c r="UO15" s="214"/>
      <c r="UP15" s="214"/>
      <c r="UQ15" s="214"/>
      <c r="UR15" s="214"/>
      <c r="US15" s="214"/>
      <c r="UT15" s="214"/>
      <c r="UU15" s="214"/>
      <c r="UV15" s="214"/>
      <c r="UW15" s="214"/>
      <c r="UX15" s="214"/>
      <c r="UY15" s="214"/>
      <c r="UZ15" s="214"/>
      <c r="VA15" s="214"/>
      <c r="VB15" s="214"/>
      <c r="VC15" s="214"/>
      <c r="VD15" s="214"/>
      <c r="VE15" s="214"/>
      <c r="VF15" s="214"/>
      <c r="VG15" s="214"/>
      <c r="VH15" s="214"/>
      <c r="VI15" s="214"/>
      <c r="VJ15" s="214"/>
      <c r="VK15" s="214"/>
      <c r="VL15" s="214"/>
      <c r="VM15" s="214"/>
      <c r="VN15" s="214"/>
      <c r="VO15" s="214"/>
      <c r="VP15" s="214"/>
      <c r="VQ15" s="214"/>
      <c r="VR15" s="214"/>
      <c r="VS15" s="214"/>
      <c r="VT15" s="214"/>
      <c r="VU15" s="214"/>
      <c r="VV15" s="214"/>
      <c r="VW15" s="214"/>
      <c r="VX15" s="214"/>
      <c r="VY15" s="214"/>
      <c r="VZ15" s="214"/>
      <c r="WA15" s="214"/>
      <c r="WB15" s="214"/>
      <c r="WC15" s="214"/>
      <c r="WD15" s="214"/>
      <c r="WE15" s="214"/>
      <c r="WF15" s="214"/>
      <c r="WG15" s="214"/>
      <c r="WH15" s="214"/>
      <c r="WI15" s="214"/>
      <c r="WJ15" s="214"/>
      <c r="WK15" s="214"/>
      <c r="WL15" s="214"/>
      <c r="WM15" s="214"/>
      <c r="WN15" s="214"/>
      <c r="WO15" s="214"/>
      <c r="WP15" s="214"/>
      <c r="WQ15" s="214"/>
      <c r="WR15" s="214"/>
      <c r="WS15" s="214"/>
      <c r="WT15" s="214"/>
      <c r="WU15" s="214"/>
      <c r="WV15" s="214"/>
      <c r="WW15" s="214"/>
      <c r="WX15" s="214"/>
      <c r="WY15" s="214"/>
      <c r="WZ15" s="214"/>
      <c r="XA15" s="214"/>
      <c r="XB15" s="214"/>
      <c r="XC15" s="214"/>
      <c r="XD15" s="214"/>
      <c r="XE15" s="214"/>
      <c r="XF15" s="214"/>
      <c r="XG15" s="214"/>
      <c r="XH15" s="214"/>
      <c r="XI15" s="214"/>
      <c r="XJ15" s="214"/>
      <c r="XK15" s="214"/>
      <c r="XL15" s="214"/>
      <c r="XM15" s="214"/>
      <c r="XN15" s="214"/>
      <c r="XO15" s="214"/>
      <c r="XP15" s="214"/>
      <c r="XQ15" s="214"/>
      <c r="XR15" s="214"/>
      <c r="XS15" s="214"/>
      <c r="XT15" s="214"/>
      <c r="XU15" s="214"/>
      <c r="XV15" s="214"/>
      <c r="XW15" s="214"/>
      <c r="XX15" s="214"/>
      <c r="XY15" s="214"/>
      <c r="XZ15" s="214"/>
      <c r="YA15" s="214"/>
      <c r="YB15" s="214"/>
      <c r="YC15" s="214"/>
      <c r="YD15" s="214"/>
      <c r="YE15" s="214"/>
      <c r="YF15" s="214"/>
      <c r="YG15" s="214"/>
      <c r="YH15" s="214"/>
      <c r="YI15" s="214"/>
      <c r="YJ15" s="214"/>
      <c r="YK15" s="214"/>
      <c r="YL15" s="214"/>
      <c r="YM15" s="214"/>
      <c r="YN15" s="214"/>
      <c r="YO15" s="214"/>
      <c r="YP15" s="214"/>
      <c r="YQ15" s="214"/>
      <c r="YR15" s="214"/>
      <c r="YS15" s="214"/>
      <c r="YT15" s="214"/>
      <c r="YU15" s="214"/>
      <c r="YV15" s="214"/>
      <c r="YW15" s="214"/>
      <c r="YX15" s="214"/>
      <c r="YY15" s="214"/>
      <c r="YZ15" s="214"/>
      <c r="ZA15" s="214"/>
      <c r="ZB15" s="214"/>
      <c r="ZC15" s="214"/>
      <c r="ZD15" s="214"/>
      <c r="ZE15" s="214"/>
      <c r="ZF15" s="214"/>
      <c r="ZG15" s="214"/>
      <c r="ZH15" s="214"/>
      <c r="ZI15" s="214"/>
      <c r="ZJ15" s="214"/>
      <c r="ZK15" s="214"/>
      <c r="ZL15" s="214"/>
      <c r="ZM15" s="214"/>
      <c r="ZN15" s="214"/>
      <c r="ZO15" s="214"/>
      <c r="ZP15" s="214"/>
      <c r="ZQ15" s="214"/>
      <c r="ZR15" s="214"/>
      <c r="ZS15" s="214"/>
      <c r="ZT15" s="214"/>
      <c r="ZU15" s="214"/>
      <c r="ZV15" s="214"/>
      <c r="ZW15" s="214"/>
    </row>
    <row r="16" spans="1:699" ht="15.75" customHeight="1" x14ac:dyDescent="0.2">
      <c r="A16" s="42"/>
      <c r="B16" s="234">
        <v>2015</v>
      </c>
      <c r="C16" s="235">
        <v>1000000</v>
      </c>
      <c r="D16" s="235">
        <v>1500000</v>
      </c>
      <c r="E16" s="236">
        <v>1724999.9999999998</v>
      </c>
      <c r="F16" s="210"/>
      <c r="G16" s="61"/>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214"/>
      <c r="CV16" s="214"/>
      <c r="CW16" s="214"/>
      <c r="CX16" s="214"/>
      <c r="CY16" s="214"/>
      <c r="CZ16" s="214"/>
      <c r="DA16" s="214"/>
      <c r="DB16" s="214"/>
      <c r="DC16" s="214"/>
      <c r="DD16" s="214"/>
      <c r="DE16" s="214"/>
      <c r="DF16" s="214"/>
      <c r="DG16" s="214"/>
      <c r="DH16" s="214"/>
      <c r="DI16" s="214"/>
      <c r="DJ16" s="214"/>
      <c r="DK16" s="214"/>
      <c r="DL16" s="214"/>
      <c r="DM16" s="214"/>
      <c r="DN16" s="214"/>
      <c r="DO16" s="214"/>
      <c r="DP16" s="214"/>
      <c r="DQ16" s="214"/>
      <c r="DR16" s="214"/>
      <c r="DS16" s="214"/>
      <c r="DT16" s="214"/>
      <c r="DU16" s="214"/>
      <c r="DV16" s="214"/>
      <c r="DW16" s="214"/>
      <c r="DX16" s="214"/>
      <c r="DY16" s="214"/>
      <c r="DZ16" s="214"/>
      <c r="EA16" s="214"/>
      <c r="EB16" s="214"/>
      <c r="EC16" s="214"/>
      <c r="ED16" s="214"/>
      <c r="EE16" s="214"/>
      <c r="EF16" s="214"/>
      <c r="EG16" s="214"/>
      <c r="EH16" s="214"/>
      <c r="EI16" s="214"/>
      <c r="EJ16" s="214"/>
      <c r="EK16" s="214"/>
      <c r="EL16" s="214"/>
      <c r="EM16" s="214"/>
      <c r="EN16" s="214"/>
      <c r="EO16" s="214"/>
      <c r="EP16" s="214"/>
      <c r="EQ16" s="214"/>
      <c r="ER16" s="214"/>
      <c r="ES16" s="214"/>
      <c r="ET16" s="214"/>
      <c r="EU16" s="214"/>
      <c r="EV16" s="214"/>
      <c r="EW16" s="214"/>
      <c r="EX16" s="214"/>
      <c r="EY16" s="214"/>
      <c r="EZ16" s="214"/>
      <c r="FA16" s="214"/>
      <c r="FB16" s="214"/>
      <c r="FC16" s="214"/>
      <c r="FD16" s="214"/>
      <c r="FE16" s="214"/>
      <c r="FF16" s="214"/>
      <c r="FG16" s="214"/>
      <c r="FH16" s="214"/>
      <c r="FI16" s="214"/>
      <c r="FJ16" s="214"/>
      <c r="FK16" s="214"/>
      <c r="FL16" s="214"/>
      <c r="FM16" s="214"/>
      <c r="FN16" s="214"/>
      <c r="FO16" s="214"/>
      <c r="FP16" s="214"/>
      <c r="FQ16" s="214"/>
      <c r="FR16" s="214"/>
      <c r="FS16" s="214"/>
      <c r="FT16" s="214"/>
      <c r="FU16" s="214"/>
      <c r="FV16" s="214"/>
      <c r="FW16" s="214"/>
      <c r="FX16" s="214"/>
      <c r="FY16" s="214"/>
      <c r="FZ16" s="214"/>
      <c r="GA16" s="214"/>
      <c r="GB16" s="214"/>
      <c r="GC16" s="214"/>
      <c r="GD16" s="214"/>
      <c r="GE16" s="214"/>
      <c r="GF16" s="214"/>
      <c r="GG16" s="214"/>
      <c r="GH16" s="214"/>
      <c r="GI16" s="214"/>
      <c r="GJ16" s="214"/>
      <c r="GK16" s="214"/>
      <c r="GL16" s="214"/>
      <c r="GM16" s="214"/>
      <c r="GN16" s="214"/>
      <c r="GO16" s="214"/>
      <c r="GP16" s="214"/>
      <c r="GQ16" s="214"/>
      <c r="GR16" s="214"/>
      <c r="GS16" s="214"/>
      <c r="GT16" s="214"/>
      <c r="GU16" s="214"/>
      <c r="GV16" s="214"/>
      <c r="GW16" s="214"/>
      <c r="GX16" s="214"/>
      <c r="GY16" s="214"/>
      <c r="GZ16" s="214"/>
      <c r="HA16" s="214"/>
      <c r="HB16" s="214"/>
      <c r="HC16" s="214"/>
      <c r="HD16" s="214"/>
      <c r="HE16" s="214"/>
      <c r="HF16" s="214"/>
      <c r="HG16" s="214"/>
      <c r="HH16" s="214"/>
      <c r="HI16" s="214"/>
      <c r="HJ16" s="214"/>
      <c r="HK16" s="214"/>
      <c r="HL16" s="214"/>
      <c r="HM16" s="214"/>
      <c r="HN16" s="214"/>
      <c r="HO16" s="214"/>
      <c r="HP16" s="214"/>
      <c r="HQ16" s="214"/>
      <c r="HR16" s="214"/>
      <c r="HS16" s="214"/>
      <c r="HT16" s="214"/>
      <c r="HU16" s="214"/>
      <c r="HV16" s="214"/>
      <c r="HW16" s="214"/>
      <c r="HX16" s="214"/>
      <c r="HY16" s="214"/>
      <c r="HZ16" s="214"/>
      <c r="IA16" s="214"/>
      <c r="IB16" s="214"/>
      <c r="IC16" s="214"/>
      <c r="ID16" s="214"/>
      <c r="IE16" s="214"/>
      <c r="IF16" s="214"/>
      <c r="IG16" s="214"/>
      <c r="IH16" s="214"/>
      <c r="II16" s="214"/>
      <c r="IJ16" s="214"/>
      <c r="IK16" s="214"/>
      <c r="IL16" s="214"/>
      <c r="IM16" s="214"/>
      <c r="IN16" s="214"/>
      <c r="IO16" s="214"/>
      <c r="IP16" s="214"/>
      <c r="IQ16" s="214"/>
      <c r="IR16" s="214"/>
      <c r="IS16" s="214"/>
      <c r="IT16" s="214"/>
      <c r="IU16" s="214"/>
      <c r="IV16" s="214"/>
      <c r="IW16" s="214"/>
      <c r="IX16" s="214"/>
      <c r="IY16" s="214"/>
      <c r="IZ16" s="214"/>
      <c r="JA16" s="214"/>
      <c r="JB16" s="214"/>
      <c r="JC16" s="214"/>
      <c r="JD16" s="214"/>
      <c r="JE16" s="214"/>
      <c r="JF16" s="214"/>
      <c r="JG16" s="214"/>
      <c r="JH16" s="214"/>
      <c r="JI16" s="214"/>
      <c r="JJ16" s="214"/>
      <c r="JK16" s="214"/>
      <c r="JL16" s="214"/>
      <c r="JM16" s="214"/>
      <c r="JN16" s="214"/>
      <c r="JO16" s="214"/>
      <c r="JP16" s="214"/>
      <c r="JQ16" s="214"/>
      <c r="JR16" s="214"/>
      <c r="JS16" s="214"/>
      <c r="JT16" s="214"/>
      <c r="JU16" s="214"/>
      <c r="JV16" s="214"/>
      <c r="JW16" s="214"/>
      <c r="JX16" s="214"/>
      <c r="JY16" s="214"/>
      <c r="JZ16" s="214"/>
      <c r="KA16" s="214"/>
      <c r="KB16" s="214"/>
      <c r="KC16" s="214"/>
      <c r="KD16" s="214"/>
      <c r="KE16" s="214"/>
      <c r="KF16" s="214"/>
      <c r="KG16" s="214"/>
      <c r="KH16" s="214"/>
      <c r="KI16" s="214"/>
      <c r="KJ16" s="214"/>
      <c r="KK16" s="214"/>
      <c r="KL16" s="214"/>
      <c r="KM16" s="214"/>
      <c r="KN16" s="214"/>
      <c r="KO16" s="214"/>
      <c r="KP16" s="214"/>
      <c r="KQ16" s="214"/>
      <c r="KR16" s="214"/>
      <c r="KS16" s="214"/>
      <c r="KT16" s="214"/>
      <c r="KU16" s="214"/>
      <c r="KV16" s="214"/>
      <c r="KW16" s="214"/>
      <c r="KX16" s="214"/>
      <c r="KY16" s="214"/>
      <c r="KZ16" s="214"/>
      <c r="LA16" s="214"/>
      <c r="LB16" s="214"/>
      <c r="LC16" s="214"/>
      <c r="LD16" s="214"/>
      <c r="LE16" s="214"/>
      <c r="LF16" s="214"/>
      <c r="LG16" s="214"/>
      <c r="LH16" s="214"/>
      <c r="LI16" s="214"/>
      <c r="LJ16" s="214"/>
      <c r="LK16" s="214"/>
      <c r="LL16" s="214"/>
      <c r="LM16" s="214"/>
      <c r="LN16" s="214"/>
      <c r="LO16" s="214"/>
      <c r="LP16" s="214"/>
      <c r="LQ16" s="214"/>
      <c r="LR16" s="214"/>
      <c r="LS16" s="214"/>
      <c r="LT16" s="214"/>
      <c r="LU16" s="214"/>
      <c r="LV16" s="214"/>
      <c r="LW16" s="214"/>
      <c r="LX16" s="214"/>
      <c r="LY16" s="214"/>
      <c r="LZ16" s="214"/>
      <c r="MA16" s="214"/>
      <c r="MB16" s="214"/>
      <c r="MC16" s="214"/>
      <c r="MD16" s="214"/>
      <c r="ME16" s="214"/>
      <c r="MF16" s="214"/>
      <c r="MG16" s="214"/>
      <c r="MH16" s="214"/>
      <c r="MI16" s="214"/>
      <c r="MJ16" s="214"/>
      <c r="MK16" s="214"/>
      <c r="ML16" s="214"/>
      <c r="MM16" s="214"/>
      <c r="MN16" s="214"/>
      <c r="MO16" s="214"/>
      <c r="MP16" s="214"/>
      <c r="MQ16" s="214"/>
      <c r="MR16" s="214"/>
      <c r="MS16" s="214"/>
      <c r="MT16" s="214"/>
      <c r="MU16" s="214"/>
      <c r="MV16" s="214"/>
      <c r="MW16" s="214"/>
      <c r="MX16" s="214"/>
      <c r="MY16" s="214"/>
      <c r="MZ16" s="214"/>
      <c r="NA16" s="214"/>
      <c r="NB16" s="214"/>
      <c r="NC16" s="214"/>
      <c r="ND16" s="214"/>
      <c r="NE16" s="214"/>
      <c r="NF16" s="214"/>
      <c r="NG16" s="214"/>
      <c r="NH16" s="214"/>
      <c r="NI16" s="214"/>
      <c r="NJ16" s="214"/>
      <c r="NK16" s="214"/>
      <c r="NL16" s="214"/>
      <c r="NM16" s="214"/>
      <c r="NN16" s="214"/>
      <c r="NO16" s="214"/>
      <c r="NP16" s="214"/>
      <c r="NQ16" s="214"/>
      <c r="NR16" s="214"/>
      <c r="NS16" s="214"/>
      <c r="NT16" s="214"/>
      <c r="NU16" s="214"/>
      <c r="NV16" s="214"/>
      <c r="NW16" s="214"/>
      <c r="NX16" s="214"/>
      <c r="NY16" s="214"/>
      <c r="NZ16" s="214"/>
      <c r="OA16" s="214"/>
      <c r="OB16" s="214"/>
      <c r="OC16" s="214"/>
      <c r="OD16" s="214"/>
      <c r="OE16" s="214"/>
      <c r="OF16" s="214"/>
      <c r="OG16" s="214"/>
      <c r="OH16" s="214"/>
      <c r="OI16" s="214"/>
      <c r="OJ16" s="214"/>
      <c r="OK16" s="214"/>
      <c r="OL16" s="214"/>
      <c r="OM16" s="214"/>
      <c r="ON16" s="214"/>
      <c r="OO16" s="214"/>
      <c r="OP16" s="214"/>
      <c r="OQ16" s="214"/>
      <c r="OR16" s="214"/>
      <c r="OS16" s="214"/>
      <c r="OT16" s="214"/>
      <c r="OU16" s="214"/>
      <c r="OV16" s="214"/>
      <c r="OW16" s="214"/>
      <c r="OX16" s="214"/>
      <c r="OY16" s="214"/>
      <c r="OZ16" s="214"/>
      <c r="PA16" s="214"/>
      <c r="PB16" s="214"/>
      <c r="PC16" s="214"/>
      <c r="PD16" s="214"/>
      <c r="PE16" s="214"/>
      <c r="PF16" s="214"/>
      <c r="PG16" s="214"/>
      <c r="PH16" s="214"/>
      <c r="PI16" s="214"/>
      <c r="PJ16" s="214"/>
      <c r="PK16" s="214"/>
      <c r="PL16" s="214"/>
      <c r="PM16" s="214"/>
      <c r="PN16" s="214"/>
      <c r="PO16" s="214"/>
      <c r="PP16" s="214"/>
      <c r="PQ16" s="214"/>
      <c r="PR16" s="214"/>
      <c r="PS16" s="214"/>
      <c r="PT16" s="214"/>
      <c r="PU16" s="214"/>
      <c r="PV16" s="214"/>
      <c r="PW16" s="214"/>
      <c r="PX16" s="214"/>
      <c r="PY16" s="214"/>
      <c r="PZ16" s="214"/>
      <c r="QA16" s="214"/>
      <c r="QB16" s="214"/>
      <c r="QC16" s="214"/>
      <c r="QD16" s="214"/>
      <c r="QE16" s="214"/>
      <c r="QF16" s="214"/>
      <c r="QG16" s="214"/>
      <c r="QH16" s="214"/>
      <c r="QI16" s="214"/>
      <c r="QJ16" s="214"/>
      <c r="QK16" s="214"/>
      <c r="QL16" s="214"/>
      <c r="QM16" s="214"/>
      <c r="QN16" s="214"/>
      <c r="QO16" s="214"/>
      <c r="QP16" s="214"/>
      <c r="QQ16" s="214"/>
      <c r="QR16" s="214"/>
      <c r="QS16" s="214"/>
      <c r="QT16" s="214"/>
      <c r="QU16" s="214"/>
      <c r="QV16" s="214"/>
      <c r="QW16" s="214"/>
      <c r="QX16" s="214"/>
      <c r="QY16" s="214"/>
      <c r="QZ16" s="214"/>
      <c r="RA16" s="214"/>
      <c r="RB16" s="214"/>
      <c r="RC16" s="214"/>
      <c r="RD16" s="214"/>
      <c r="RE16" s="214"/>
      <c r="RF16" s="214"/>
      <c r="RG16" s="214"/>
      <c r="RH16" s="214"/>
      <c r="RI16" s="214"/>
      <c r="RJ16" s="214"/>
      <c r="RK16" s="214"/>
      <c r="RL16" s="214"/>
      <c r="RM16" s="214"/>
      <c r="RN16" s="214"/>
      <c r="RO16" s="214"/>
      <c r="RP16" s="214"/>
      <c r="RQ16" s="214"/>
      <c r="RR16" s="214"/>
      <c r="RS16" s="214"/>
      <c r="RT16" s="214"/>
      <c r="RU16" s="214"/>
      <c r="RV16" s="214"/>
      <c r="RW16" s="214"/>
      <c r="RX16" s="214"/>
      <c r="RY16" s="214"/>
      <c r="RZ16" s="214"/>
      <c r="SA16" s="214"/>
      <c r="SB16" s="214"/>
      <c r="SC16" s="214"/>
      <c r="SD16" s="214"/>
      <c r="SE16" s="214"/>
      <c r="SF16" s="214"/>
      <c r="SG16" s="214"/>
      <c r="SH16" s="214"/>
      <c r="SI16" s="214"/>
      <c r="SJ16" s="214"/>
      <c r="SK16" s="214"/>
      <c r="SL16" s="214"/>
      <c r="SM16" s="214"/>
      <c r="SN16" s="214"/>
      <c r="SO16" s="214"/>
      <c r="SP16" s="214"/>
      <c r="SQ16" s="214"/>
      <c r="SR16" s="214"/>
      <c r="SS16" s="214"/>
      <c r="ST16" s="214"/>
      <c r="SU16" s="214"/>
      <c r="SV16" s="214"/>
      <c r="SW16" s="214"/>
      <c r="SX16" s="214"/>
      <c r="SY16" s="214"/>
      <c r="SZ16" s="214"/>
      <c r="TA16" s="214"/>
      <c r="TB16" s="214"/>
      <c r="TC16" s="214"/>
      <c r="TD16" s="214"/>
      <c r="TE16" s="214"/>
      <c r="TF16" s="214"/>
      <c r="TG16" s="214"/>
      <c r="TH16" s="214"/>
      <c r="TI16" s="214"/>
      <c r="TJ16" s="214"/>
      <c r="TK16" s="214"/>
      <c r="TL16" s="214"/>
      <c r="TM16" s="214"/>
      <c r="TN16" s="214"/>
      <c r="TO16" s="214"/>
      <c r="TP16" s="214"/>
      <c r="TQ16" s="214"/>
      <c r="TR16" s="214"/>
      <c r="TS16" s="214"/>
      <c r="TT16" s="214"/>
      <c r="TU16" s="214"/>
      <c r="TV16" s="214"/>
      <c r="TW16" s="214"/>
      <c r="TX16" s="214"/>
      <c r="TY16" s="214"/>
      <c r="TZ16" s="214"/>
      <c r="UA16" s="214"/>
      <c r="UB16" s="214"/>
      <c r="UC16" s="214"/>
      <c r="UD16" s="214"/>
      <c r="UE16" s="214"/>
      <c r="UF16" s="214"/>
      <c r="UG16" s="214"/>
      <c r="UH16" s="214"/>
      <c r="UI16" s="214"/>
      <c r="UJ16" s="214"/>
      <c r="UK16" s="214"/>
      <c r="UL16" s="214"/>
      <c r="UM16" s="214"/>
      <c r="UN16" s="214"/>
      <c r="UO16" s="214"/>
      <c r="UP16" s="214"/>
      <c r="UQ16" s="214"/>
      <c r="UR16" s="214"/>
      <c r="US16" s="214"/>
      <c r="UT16" s="214"/>
      <c r="UU16" s="214"/>
      <c r="UV16" s="214"/>
      <c r="UW16" s="214"/>
      <c r="UX16" s="214"/>
      <c r="UY16" s="214"/>
      <c r="UZ16" s="214"/>
      <c r="VA16" s="214"/>
      <c r="VB16" s="214"/>
      <c r="VC16" s="214"/>
      <c r="VD16" s="214"/>
      <c r="VE16" s="214"/>
      <c r="VF16" s="214"/>
      <c r="VG16" s="214"/>
      <c r="VH16" s="214"/>
      <c r="VI16" s="214"/>
      <c r="VJ16" s="214"/>
      <c r="VK16" s="214"/>
      <c r="VL16" s="214"/>
      <c r="VM16" s="214"/>
      <c r="VN16" s="214"/>
      <c r="VO16" s="214"/>
      <c r="VP16" s="214"/>
      <c r="VQ16" s="214"/>
      <c r="VR16" s="214"/>
      <c r="VS16" s="214"/>
      <c r="VT16" s="214"/>
      <c r="VU16" s="214"/>
      <c r="VV16" s="214"/>
      <c r="VW16" s="214"/>
      <c r="VX16" s="214"/>
      <c r="VY16" s="214"/>
      <c r="VZ16" s="214"/>
      <c r="WA16" s="214"/>
      <c r="WB16" s="214"/>
      <c r="WC16" s="214"/>
      <c r="WD16" s="214"/>
      <c r="WE16" s="214"/>
      <c r="WF16" s="214"/>
      <c r="WG16" s="214"/>
      <c r="WH16" s="214"/>
      <c r="WI16" s="214"/>
      <c r="WJ16" s="214"/>
      <c r="WK16" s="214"/>
      <c r="WL16" s="214"/>
      <c r="WM16" s="214"/>
      <c r="WN16" s="214"/>
      <c r="WO16" s="214"/>
      <c r="WP16" s="214"/>
      <c r="WQ16" s="214"/>
      <c r="WR16" s="214"/>
      <c r="WS16" s="214"/>
      <c r="WT16" s="214"/>
      <c r="WU16" s="214"/>
      <c r="WV16" s="214"/>
      <c r="WW16" s="214"/>
      <c r="WX16" s="214"/>
      <c r="WY16" s="214"/>
      <c r="WZ16" s="214"/>
      <c r="XA16" s="214"/>
      <c r="XB16" s="214"/>
      <c r="XC16" s="214"/>
      <c r="XD16" s="214"/>
      <c r="XE16" s="214"/>
      <c r="XF16" s="214"/>
      <c r="XG16" s="214"/>
      <c r="XH16" s="214"/>
      <c r="XI16" s="214"/>
      <c r="XJ16" s="214"/>
      <c r="XK16" s="214"/>
      <c r="XL16" s="214"/>
      <c r="XM16" s="214"/>
      <c r="XN16" s="214"/>
      <c r="XO16" s="214"/>
      <c r="XP16" s="214"/>
      <c r="XQ16" s="214"/>
      <c r="XR16" s="214"/>
      <c r="XS16" s="214"/>
      <c r="XT16" s="214"/>
      <c r="XU16" s="214"/>
      <c r="XV16" s="214"/>
      <c r="XW16" s="214"/>
      <c r="XX16" s="214"/>
      <c r="XY16" s="214"/>
      <c r="XZ16" s="214"/>
      <c r="YA16" s="214"/>
      <c r="YB16" s="214"/>
      <c r="YC16" s="214"/>
      <c r="YD16" s="214"/>
      <c r="YE16" s="214"/>
      <c r="YF16" s="214"/>
      <c r="YG16" s="214"/>
      <c r="YH16" s="214"/>
      <c r="YI16" s="214"/>
      <c r="YJ16" s="214"/>
      <c r="YK16" s="214"/>
      <c r="YL16" s="214"/>
      <c r="YM16" s="214"/>
      <c r="YN16" s="214"/>
      <c r="YO16" s="214"/>
      <c r="YP16" s="214"/>
      <c r="YQ16" s="214"/>
      <c r="YR16" s="214"/>
      <c r="YS16" s="214"/>
      <c r="YT16" s="214"/>
      <c r="YU16" s="214"/>
      <c r="YV16" s="214"/>
      <c r="YW16" s="214"/>
      <c r="YX16" s="214"/>
      <c r="YY16" s="214"/>
      <c r="YZ16" s="214"/>
      <c r="ZA16" s="214"/>
      <c r="ZB16" s="214"/>
      <c r="ZC16" s="214"/>
      <c r="ZD16" s="214"/>
      <c r="ZE16" s="214"/>
      <c r="ZF16" s="214"/>
      <c r="ZG16" s="214"/>
      <c r="ZH16" s="214"/>
      <c r="ZI16" s="214"/>
      <c r="ZJ16" s="214"/>
      <c r="ZK16" s="214"/>
      <c r="ZL16" s="214"/>
      <c r="ZM16" s="214"/>
      <c r="ZN16" s="214"/>
      <c r="ZO16" s="214"/>
      <c r="ZP16" s="214"/>
      <c r="ZQ16" s="214"/>
      <c r="ZR16" s="214"/>
      <c r="ZS16" s="214"/>
      <c r="ZT16" s="214"/>
      <c r="ZU16" s="214"/>
      <c r="ZV16" s="214"/>
      <c r="ZW16" s="214"/>
    </row>
    <row r="17" spans="1:699" ht="15.75" customHeight="1" x14ac:dyDescent="0.2">
      <c r="A17" s="42"/>
      <c r="B17" s="234">
        <v>2016</v>
      </c>
      <c r="C17" s="235">
        <v>1100000</v>
      </c>
      <c r="D17" s="235">
        <v>1650000</v>
      </c>
      <c r="E17" s="237"/>
      <c r="F17" s="210"/>
      <c r="G17" s="61"/>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214"/>
      <c r="CV17" s="214"/>
      <c r="CW17" s="214"/>
      <c r="CX17" s="214"/>
      <c r="CY17" s="214"/>
      <c r="CZ17" s="214"/>
      <c r="DA17" s="214"/>
      <c r="DB17" s="214"/>
      <c r="DC17" s="214"/>
      <c r="DD17" s="214"/>
      <c r="DE17" s="214"/>
      <c r="DF17" s="214"/>
      <c r="DG17" s="214"/>
      <c r="DH17" s="214"/>
      <c r="DI17" s="214"/>
      <c r="DJ17" s="214"/>
      <c r="DK17" s="214"/>
      <c r="DL17" s="214"/>
      <c r="DM17" s="214"/>
      <c r="DN17" s="214"/>
      <c r="DO17" s="214"/>
      <c r="DP17" s="214"/>
      <c r="DQ17" s="214"/>
      <c r="DR17" s="214"/>
      <c r="DS17" s="214"/>
      <c r="DT17" s="214"/>
      <c r="DU17" s="214"/>
      <c r="DV17" s="214"/>
      <c r="DW17" s="214"/>
      <c r="DX17" s="214"/>
      <c r="DY17" s="214"/>
      <c r="DZ17" s="214"/>
      <c r="EA17" s="214"/>
      <c r="EB17" s="214"/>
      <c r="EC17" s="214"/>
      <c r="ED17" s="214"/>
      <c r="EE17" s="214"/>
      <c r="EF17" s="214"/>
      <c r="EG17" s="214"/>
      <c r="EH17" s="214"/>
      <c r="EI17" s="214"/>
      <c r="EJ17" s="214"/>
      <c r="EK17" s="214"/>
      <c r="EL17" s="214"/>
      <c r="EM17" s="214"/>
      <c r="EN17" s="214"/>
      <c r="EO17" s="214"/>
      <c r="EP17" s="214"/>
      <c r="EQ17" s="214"/>
      <c r="ER17" s="214"/>
      <c r="ES17" s="214"/>
      <c r="ET17" s="214"/>
      <c r="EU17" s="214"/>
      <c r="EV17" s="214"/>
      <c r="EW17" s="214"/>
      <c r="EX17" s="214"/>
      <c r="EY17" s="214"/>
      <c r="EZ17" s="214"/>
      <c r="FA17" s="214"/>
      <c r="FB17" s="214"/>
      <c r="FC17" s="214"/>
      <c r="FD17" s="214"/>
      <c r="FE17" s="214"/>
      <c r="FF17" s="214"/>
      <c r="FG17" s="214"/>
      <c r="FH17" s="214"/>
      <c r="FI17" s="214"/>
      <c r="FJ17" s="214"/>
      <c r="FK17" s="214"/>
      <c r="FL17" s="214"/>
      <c r="FM17" s="214"/>
      <c r="FN17" s="214"/>
      <c r="FO17" s="214"/>
      <c r="FP17" s="214"/>
      <c r="FQ17" s="214"/>
      <c r="FR17" s="214"/>
      <c r="FS17" s="214"/>
      <c r="FT17" s="214"/>
      <c r="FU17" s="214"/>
      <c r="FV17" s="214"/>
      <c r="FW17" s="214"/>
      <c r="FX17" s="214"/>
      <c r="FY17" s="214"/>
      <c r="FZ17" s="214"/>
      <c r="GA17" s="214"/>
      <c r="GB17" s="214"/>
      <c r="GC17" s="214"/>
      <c r="GD17" s="214"/>
      <c r="GE17" s="214"/>
      <c r="GF17" s="214"/>
      <c r="GG17" s="214"/>
      <c r="GH17" s="214"/>
      <c r="GI17" s="214"/>
      <c r="GJ17" s="214"/>
      <c r="GK17" s="214"/>
      <c r="GL17" s="214"/>
      <c r="GM17" s="214"/>
      <c r="GN17" s="214"/>
      <c r="GO17" s="214"/>
      <c r="GP17" s="214"/>
      <c r="GQ17" s="214"/>
      <c r="GR17" s="214"/>
      <c r="GS17" s="214"/>
      <c r="GT17" s="214"/>
      <c r="GU17" s="214"/>
      <c r="GV17" s="214"/>
      <c r="GW17" s="214"/>
      <c r="GX17" s="214"/>
      <c r="GY17" s="214"/>
      <c r="GZ17" s="214"/>
      <c r="HA17" s="214"/>
      <c r="HB17" s="214"/>
      <c r="HC17" s="214"/>
      <c r="HD17" s="214"/>
      <c r="HE17" s="214"/>
      <c r="HF17" s="214"/>
      <c r="HG17" s="214"/>
      <c r="HH17" s="214"/>
      <c r="HI17" s="214"/>
      <c r="HJ17" s="214"/>
      <c r="HK17" s="214"/>
      <c r="HL17" s="214"/>
      <c r="HM17" s="214"/>
      <c r="HN17" s="214"/>
      <c r="HO17" s="214"/>
      <c r="HP17" s="214"/>
      <c r="HQ17" s="214"/>
      <c r="HR17" s="214"/>
      <c r="HS17" s="214"/>
      <c r="HT17" s="214"/>
      <c r="HU17" s="214"/>
      <c r="HV17" s="214"/>
      <c r="HW17" s="214"/>
      <c r="HX17" s="214"/>
      <c r="HY17" s="214"/>
      <c r="HZ17" s="214"/>
      <c r="IA17" s="214"/>
      <c r="IB17" s="214"/>
      <c r="IC17" s="214"/>
      <c r="ID17" s="214"/>
      <c r="IE17" s="214"/>
      <c r="IF17" s="214"/>
      <c r="IG17" s="214"/>
      <c r="IH17" s="214"/>
      <c r="II17" s="214"/>
      <c r="IJ17" s="214"/>
      <c r="IK17" s="214"/>
      <c r="IL17" s="214"/>
      <c r="IM17" s="214"/>
      <c r="IN17" s="214"/>
      <c r="IO17" s="214"/>
      <c r="IP17" s="214"/>
      <c r="IQ17" s="214"/>
      <c r="IR17" s="214"/>
      <c r="IS17" s="214"/>
      <c r="IT17" s="214"/>
      <c r="IU17" s="214"/>
      <c r="IV17" s="214"/>
      <c r="IW17" s="214"/>
      <c r="IX17" s="214"/>
      <c r="IY17" s="214"/>
      <c r="IZ17" s="214"/>
      <c r="JA17" s="214"/>
      <c r="JB17" s="214"/>
      <c r="JC17" s="214"/>
      <c r="JD17" s="214"/>
      <c r="JE17" s="214"/>
      <c r="JF17" s="214"/>
      <c r="JG17" s="214"/>
      <c r="JH17" s="214"/>
      <c r="JI17" s="214"/>
      <c r="JJ17" s="214"/>
      <c r="JK17" s="214"/>
      <c r="JL17" s="214"/>
      <c r="JM17" s="214"/>
      <c r="JN17" s="214"/>
      <c r="JO17" s="214"/>
      <c r="JP17" s="214"/>
      <c r="JQ17" s="214"/>
      <c r="JR17" s="214"/>
      <c r="JS17" s="214"/>
      <c r="JT17" s="214"/>
      <c r="JU17" s="214"/>
      <c r="JV17" s="214"/>
      <c r="JW17" s="214"/>
      <c r="JX17" s="214"/>
      <c r="JY17" s="214"/>
      <c r="JZ17" s="214"/>
      <c r="KA17" s="214"/>
      <c r="KB17" s="214"/>
      <c r="KC17" s="214"/>
      <c r="KD17" s="214"/>
      <c r="KE17" s="214"/>
      <c r="KF17" s="214"/>
      <c r="KG17" s="214"/>
      <c r="KH17" s="214"/>
      <c r="KI17" s="214"/>
      <c r="KJ17" s="214"/>
      <c r="KK17" s="214"/>
      <c r="KL17" s="214"/>
      <c r="KM17" s="214"/>
      <c r="KN17" s="214"/>
      <c r="KO17" s="214"/>
      <c r="KP17" s="214"/>
      <c r="KQ17" s="214"/>
      <c r="KR17" s="214"/>
      <c r="KS17" s="214"/>
      <c r="KT17" s="214"/>
      <c r="KU17" s="214"/>
      <c r="KV17" s="214"/>
      <c r="KW17" s="214"/>
      <c r="KX17" s="214"/>
      <c r="KY17" s="214"/>
      <c r="KZ17" s="214"/>
      <c r="LA17" s="214"/>
      <c r="LB17" s="214"/>
      <c r="LC17" s="214"/>
      <c r="LD17" s="214"/>
      <c r="LE17" s="214"/>
      <c r="LF17" s="214"/>
      <c r="LG17" s="214"/>
      <c r="LH17" s="214"/>
      <c r="LI17" s="214"/>
      <c r="LJ17" s="214"/>
      <c r="LK17" s="214"/>
      <c r="LL17" s="214"/>
      <c r="LM17" s="214"/>
      <c r="LN17" s="214"/>
      <c r="LO17" s="214"/>
      <c r="LP17" s="214"/>
      <c r="LQ17" s="214"/>
      <c r="LR17" s="214"/>
      <c r="LS17" s="214"/>
      <c r="LT17" s="214"/>
      <c r="LU17" s="214"/>
      <c r="LV17" s="214"/>
      <c r="LW17" s="214"/>
      <c r="LX17" s="214"/>
      <c r="LY17" s="214"/>
      <c r="LZ17" s="214"/>
      <c r="MA17" s="214"/>
      <c r="MB17" s="214"/>
      <c r="MC17" s="214"/>
      <c r="MD17" s="214"/>
      <c r="ME17" s="214"/>
      <c r="MF17" s="214"/>
      <c r="MG17" s="214"/>
      <c r="MH17" s="214"/>
      <c r="MI17" s="214"/>
      <c r="MJ17" s="214"/>
      <c r="MK17" s="214"/>
      <c r="ML17" s="214"/>
      <c r="MM17" s="214"/>
      <c r="MN17" s="214"/>
      <c r="MO17" s="214"/>
      <c r="MP17" s="214"/>
      <c r="MQ17" s="214"/>
      <c r="MR17" s="214"/>
      <c r="MS17" s="214"/>
      <c r="MT17" s="214"/>
      <c r="MU17" s="214"/>
      <c r="MV17" s="214"/>
      <c r="MW17" s="214"/>
      <c r="MX17" s="214"/>
      <c r="MY17" s="214"/>
      <c r="MZ17" s="214"/>
      <c r="NA17" s="214"/>
      <c r="NB17" s="214"/>
      <c r="NC17" s="214"/>
      <c r="ND17" s="214"/>
      <c r="NE17" s="214"/>
      <c r="NF17" s="214"/>
      <c r="NG17" s="214"/>
      <c r="NH17" s="214"/>
      <c r="NI17" s="214"/>
      <c r="NJ17" s="214"/>
      <c r="NK17" s="214"/>
      <c r="NL17" s="214"/>
      <c r="NM17" s="214"/>
      <c r="NN17" s="214"/>
      <c r="NO17" s="214"/>
      <c r="NP17" s="214"/>
      <c r="NQ17" s="214"/>
      <c r="NR17" s="214"/>
      <c r="NS17" s="214"/>
      <c r="NT17" s="214"/>
      <c r="NU17" s="214"/>
      <c r="NV17" s="214"/>
      <c r="NW17" s="214"/>
      <c r="NX17" s="214"/>
      <c r="NY17" s="214"/>
      <c r="NZ17" s="214"/>
      <c r="OA17" s="214"/>
      <c r="OB17" s="214"/>
      <c r="OC17" s="214"/>
      <c r="OD17" s="214"/>
      <c r="OE17" s="214"/>
      <c r="OF17" s="214"/>
      <c r="OG17" s="214"/>
      <c r="OH17" s="214"/>
      <c r="OI17" s="214"/>
      <c r="OJ17" s="214"/>
      <c r="OK17" s="214"/>
      <c r="OL17" s="214"/>
      <c r="OM17" s="214"/>
      <c r="ON17" s="214"/>
      <c r="OO17" s="214"/>
      <c r="OP17" s="214"/>
      <c r="OQ17" s="214"/>
      <c r="OR17" s="214"/>
      <c r="OS17" s="214"/>
      <c r="OT17" s="214"/>
      <c r="OU17" s="214"/>
      <c r="OV17" s="214"/>
      <c r="OW17" s="214"/>
      <c r="OX17" s="214"/>
      <c r="OY17" s="214"/>
      <c r="OZ17" s="214"/>
      <c r="PA17" s="214"/>
      <c r="PB17" s="214"/>
      <c r="PC17" s="214"/>
      <c r="PD17" s="214"/>
      <c r="PE17" s="214"/>
      <c r="PF17" s="214"/>
      <c r="PG17" s="214"/>
      <c r="PH17" s="214"/>
      <c r="PI17" s="214"/>
      <c r="PJ17" s="214"/>
      <c r="PK17" s="214"/>
      <c r="PL17" s="214"/>
      <c r="PM17" s="214"/>
      <c r="PN17" s="214"/>
      <c r="PO17" s="214"/>
      <c r="PP17" s="214"/>
      <c r="PQ17" s="214"/>
      <c r="PR17" s="214"/>
      <c r="PS17" s="214"/>
      <c r="PT17" s="214"/>
      <c r="PU17" s="214"/>
      <c r="PV17" s="214"/>
      <c r="PW17" s="214"/>
      <c r="PX17" s="214"/>
      <c r="PY17" s="214"/>
      <c r="PZ17" s="214"/>
      <c r="QA17" s="214"/>
      <c r="QB17" s="214"/>
      <c r="QC17" s="214"/>
      <c r="QD17" s="214"/>
      <c r="QE17" s="214"/>
      <c r="QF17" s="214"/>
      <c r="QG17" s="214"/>
      <c r="QH17" s="214"/>
      <c r="QI17" s="214"/>
      <c r="QJ17" s="214"/>
      <c r="QK17" s="214"/>
      <c r="QL17" s="214"/>
      <c r="QM17" s="214"/>
      <c r="QN17" s="214"/>
      <c r="QO17" s="214"/>
      <c r="QP17" s="214"/>
      <c r="QQ17" s="214"/>
      <c r="QR17" s="214"/>
      <c r="QS17" s="214"/>
      <c r="QT17" s="214"/>
      <c r="QU17" s="214"/>
      <c r="QV17" s="214"/>
      <c r="QW17" s="214"/>
      <c r="QX17" s="214"/>
      <c r="QY17" s="214"/>
      <c r="QZ17" s="214"/>
      <c r="RA17" s="214"/>
      <c r="RB17" s="214"/>
      <c r="RC17" s="214"/>
      <c r="RD17" s="214"/>
      <c r="RE17" s="214"/>
      <c r="RF17" s="214"/>
      <c r="RG17" s="214"/>
      <c r="RH17" s="214"/>
      <c r="RI17" s="214"/>
      <c r="RJ17" s="214"/>
      <c r="RK17" s="214"/>
      <c r="RL17" s="214"/>
      <c r="RM17" s="214"/>
      <c r="RN17" s="214"/>
      <c r="RO17" s="214"/>
      <c r="RP17" s="214"/>
      <c r="RQ17" s="214"/>
      <c r="RR17" s="214"/>
      <c r="RS17" s="214"/>
      <c r="RT17" s="214"/>
      <c r="RU17" s="214"/>
      <c r="RV17" s="214"/>
      <c r="RW17" s="214"/>
      <c r="RX17" s="214"/>
      <c r="RY17" s="214"/>
      <c r="RZ17" s="214"/>
      <c r="SA17" s="214"/>
      <c r="SB17" s="214"/>
      <c r="SC17" s="214"/>
      <c r="SD17" s="214"/>
      <c r="SE17" s="214"/>
      <c r="SF17" s="214"/>
      <c r="SG17" s="214"/>
      <c r="SH17" s="214"/>
      <c r="SI17" s="214"/>
      <c r="SJ17" s="214"/>
      <c r="SK17" s="214"/>
      <c r="SL17" s="214"/>
      <c r="SM17" s="214"/>
      <c r="SN17" s="214"/>
      <c r="SO17" s="214"/>
      <c r="SP17" s="214"/>
      <c r="SQ17" s="214"/>
      <c r="SR17" s="214"/>
      <c r="SS17" s="214"/>
      <c r="ST17" s="214"/>
      <c r="SU17" s="214"/>
      <c r="SV17" s="214"/>
      <c r="SW17" s="214"/>
      <c r="SX17" s="214"/>
      <c r="SY17" s="214"/>
      <c r="SZ17" s="214"/>
      <c r="TA17" s="214"/>
      <c r="TB17" s="214"/>
      <c r="TC17" s="214"/>
      <c r="TD17" s="214"/>
      <c r="TE17" s="214"/>
      <c r="TF17" s="214"/>
      <c r="TG17" s="214"/>
      <c r="TH17" s="214"/>
      <c r="TI17" s="214"/>
      <c r="TJ17" s="214"/>
      <c r="TK17" s="214"/>
      <c r="TL17" s="214"/>
      <c r="TM17" s="214"/>
      <c r="TN17" s="214"/>
      <c r="TO17" s="214"/>
      <c r="TP17" s="214"/>
      <c r="TQ17" s="214"/>
      <c r="TR17" s="214"/>
      <c r="TS17" s="214"/>
      <c r="TT17" s="214"/>
      <c r="TU17" s="214"/>
      <c r="TV17" s="214"/>
      <c r="TW17" s="214"/>
      <c r="TX17" s="214"/>
      <c r="TY17" s="214"/>
      <c r="TZ17" s="214"/>
      <c r="UA17" s="214"/>
      <c r="UB17" s="214"/>
      <c r="UC17" s="214"/>
      <c r="UD17" s="214"/>
      <c r="UE17" s="214"/>
      <c r="UF17" s="214"/>
      <c r="UG17" s="214"/>
      <c r="UH17" s="214"/>
      <c r="UI17" s="214"/>
      <c r="UJ17" s="214"/>
      <c r="UK17" s="214"/>
      <c r="UL17" s="214"/>
      <c r="UM17" s="214"/>
      <c r="UN17" s="214"/>
      <c r="UO17" s="214"/>
      <c r="UP17" s="214"/>
      <c r="UQ17" s="214"/>
      <c r="UR17" s="214"/>
      <c r="US17" s="214"/>
      <c r="UT17" s="214"/>
      <c r="UU17" s="214"/>
      <c r="UV17" s="214"/>
      <c r="UW17" s="214"/>
      <c r="UX17" s="214"/>
      <c r="UY17" s="214"/>
      <c r="UZ17" s="214"/>
      <c r="VA17" s="214"/>
      <c r="VB17" s="214"/>
      <c r="VC17" s="214"/>
      <c r="VD17" s="214"/>
      <c r="VE17" s="214"/>
      <c r="VF17" s="214"/>
      <c r="VG17" s="214"/>
      <c r="VH17" s="214"/>
      <c r="VI17" s="214"/>
      <c r="VJ17" s="214"/>
      <c r="VK17" s="214"/>
      <c r="VL17" s="214"/>
      <c r="VM17" s="214"/>
      <c r="VN17" s="214"/>
      <c r="VO17" s="214"/>
      <c r="VP17" s="214"/>
      <c r="VQ17" s="214"/>
      <c r="VR17" s="214"/>
      <c r="VS17" s="214"/>
      <c r="VT17" s="214"/>
      <c r="VU17" s="214"/>
      <c r="VV17" s="214"/>
      <c r="VW17" s="214"/>
      <c r="VX17" s="214"/>
      <c r="VY17" s="214"/>
      <c r="VZ17" s="214"/>
      <c r="WA17" s="214"/>
      <c r="WB17" s="214"/>
      <c r="WC17" s="214"/>
      <c r="WD17" s="214"/>
      <c r="WE17" s="214"/>
      <c r="WF17" s="214"/>
      <c r="WG17" s="214"/>
      <c r="WH17" s="214"/>
      <c r="WI17" s="214"/>
      <c r="WJ17" s="214"/>
      <c r="WK17" s="214"/>
      <c r="WL17" s="214"/>
      <c r="WM17" s="214"/>
      <c r="WN17" s="214"/>
      <c r="WO17" s="214"/>
      <c r="WP17" s="214"/>
      <c r="WQ17" s="214"/>
      <c r="WR17" s="214"/>
      <c r="WS17" s="214"/>
      <c r="WT17" s="214"/>
      <c r="WU17" s="214"/>
      <c r="WV17" s="214"/>
      <c r="WW17" s="214"/>
      <c r="WX17" s="214"/>
      <c r="WY17" s="214"/>
      <c r="WZ17" s="214"/>
      <c r="XA17" s="214"/>
      <c r="XB17" s="214"/>
      <c r="XC17" s="214"/>
      <c r="XD17" s="214"/>
      <c r="XE17" s="214"/>
      <c r="XF17" s="214"/>
      <c r="XG17" s="214"/>
      <c r="XH17" s="214"/>
      <c r="XI17" s="214"/>
      <c r="XJ17" s="214"/>
      <c r="XK17" s="214"/>
      <c r="XL17" s="214"/>
      <c r="XM17" s="214"/>
      <c r="XN17" s="214"/>
      <c r="XO17" s="214"/>
      <c r="XP17" s="214"/>
      <c r="XQ17" s="214"/>
      <c r="XR17" s="214"/>
      <c r="XS17" s="214"/>
      <c r="XT17" s="214"/>
      <c r="XU17" s="214"/>
      <c r="XV17" s="214"/>
      <c r="XW17" s="214"/>
      <c r="XX17" s="214"/>
      <c r="XY17" s="214"/>
      <c r="XZ17" s="214"/>
      <c r="YA17" s="214"/>
      <c r="YB17" s="214"/>
      <c r="YC17" s="214"/>
      <c r="YD17" s="214"/>
      <c r="YE17" s="214"/>
      <c r="YF17" s="214"/>
      <c r="YG17" s="214"/>
      <c r="YH17" s="214"/>
      <c r="YI17" s="214"/>
      <c r="YJ17" s="214"/>
      <c r="YK17" s="214"/>
      <c r="YL17" s="214"/>
      <c r="YM17" s="214"/>
      <c r="YN17" s="214"/>
      <c r="YO17" s="214"/>
      <c r="YP17" s="214"/>
      <c r="YQ17" s="214"/>
      <c r="YR17" s="214"/>
      <c r="YS17" s="214"/>
      <c r="YT17" s="214"/>
      <c r="YU17" s="214"/>
      <c r="YV17" s="214"/>
      <c r="YW17" s="214"/>
      <c r="YX17" s="214"/>
      <c r="YY17" s="214"/>
      <c r="YZ17" s="214"/>
      <c r="ZA17" s="214"/>
      <c r="ZB17" s="214"/>
      <c r="ZC17" s="214"/>
      <c r="ZD17" s="214"/>
      <c r="ZE17" s="214"/>
      <c r="ZF17" s="214"/>
      <c r="ZG17" s="214"/>
      <c r="ZH17" s="214"/>
      <c r="ZI17" s="214"/>
      <c r="ZJ17" s="214"/>
      <c r="ZK17" s="214"/>
      <c r="ZL17" s="214"/>
      <c r="ZM17" s="214"/>
      <c r="ZN17" s="214"/>
      <c r="ZO17" s="214"/>
      <c r="ZP17" s="214"/>
      <c r="ZQ17" s="214"/>
      <c r="ZR17" s="214"/>
      <c r="ZS17" s="214"/>
      <c r="ZT17" s="214"/>
      <c r="ZU17" s="214"/>
      <c r="ZV17" s="214"/>
      <c r="ZW17" s="214"/>
    </row>
    <row r="18" spans="1:699" ht="15.75" customHeight="1" thickBot="1" x14ac:dyDescent="0.25">
      <c r="A18" s="42"/>
      <c r="B18" s="230">
        <v>2017</v>
      </c>
      <c r="C18" s="238">
        <v>900000</v>
      </c>
      <c r="D18" s="239"/>
      <c r="E18" s="240"/>
      <c r="F18" s="210"/>
      <c r="G18" s="61"/>
      <c r="H18" s="200"/>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row>
    <row r="19" spans="1:699" ht="15.75" customHeight="1" thickBot="1" x14ac:dyDescent="0.25">
      <c r="A19" s="42"/>
      <c r="B19" s="213"/>
      <c r="C19" s="209"/>
      <c r="D19" s="209"/>
      <c r="E19" s="209"/>
      <c r="F19" s="210"/>
      <c r="G19" s="61"/>
      <c r="H19" s="200"/>
      <c r="I19" s="200"/>
      <c r="J19" s="20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row>
    <row r="20" spans="1:699" ht="15.75" customHeight="1" x14ac:dyDescent="0.2">
      <c r="A20" s="42"/>
      <c r="B20" s="241">
        <v>0.05</v>
      </c>
      <c r="C20" s="242" t="s">
        <v>199</v>
      </c>
      <c r="D20" s="243"/>
      <c r="E20" s="244"/>
      <c r="F20" s="210"/>
      <c r="G20" s="61"/>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row>
    <row r="21" spans="1:699" ht="15" customHeight="1" x14ac:dyDescent="0.2">
      <c r="A21" s="42"/>
      <c r="B21" s="245">
        <v>0.02</v>
      </c>
      <c r="C21" s="246" t="s">
        <v>201</v>
      </c>
      <c r="D21" s="209"/>
      <c r="E21" s="247"/>
      <c r="F21" s="210"/>
      <c r="G21" s="61"/>
      <c r="H21" s="200"/>
      <c r="I21" s="200"/>
      <c r="J21" s="200"/>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row>
    <row r="22" spans="1:699" ht="15" customHeight="1" x14ac:dyDescent="0.2">
      <c r="A22" s="42"/>
      <c r="B22" s="245">
        <v>0.06</v>
      </c>
      <c r="C22" s="246" t="s">
        <v>205</v>
      </c>
      <c r="D22" s="209"/>
      <c r="E22" s="247"/>
      <c r="F22" s="210"/>
      <c r="G22" s="61"/>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row>
    <row r="23" spans="1:699" ht="15.75" customHeight="1" x14ac:dyDescent="0.2">
      <c r="A23" s="42"/>
      <c r="B23" s="245">
        <v>0.2</v>
      </c>
      <c r="C23" s="246" t="s">
        <v>206</v>
      </c>
      <c r="D23" s="209"/>
      <c r="E23" s="247"/>
      <c r="F23" s="210"/>
      <c r="G23" s="61"/>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row>
    <row r="24" spans="1:699" ht="15.75" customHeight="1" x14ac:dyDescent="0.2">
      <c r="A24" s="42"/>
      <c r="B24" s="245">
        <v>0.65</v>
      </c>
      <c r="C24" s="246" t="s">
        <v>207</v>
      </c>
      <c r="D24" s="209"/>
      <c r="E24" s="247"/>
      <c r="F24" s="210"/>
      <c r="G24" s="61"/>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row>
    <row r="25" spans="1:699" ht="15.75" customHeight="1" x14ac:dyDescent="0.2">
      <c r="A25" s="42"/>
      <c r="B25" s="245">
        <v>0.04</v>
      </c>
      <c r="C25" s="246" t="s">
        <v>208</v>
      </c>
      <c r="D25" s="209"/>
      <c r="E25" s="247"/>
      <c r="F25" s="210"/>
      <c r="G25" s="61"/>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row>
    <row r="26" spans="1:699" ht="15.75" customHeight="1" x14ac:dyDescent="0.2">
      <c r="A26" s="42"/>
      <c r="B26" s="245">
        <v>7.0000000000000007E-2</v>
      </c>
      <c r="C26" s="246" t="s">
        <v>209</v>
      </c>
      <c r="D26" s="209"/>
      <c r="E26" s="247"/>
      <c r="F26" s="39"/>
      <c r="G26" s="4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row>
    <row r="27" spans="1:699" ht="15.75" customHeight="1" thickBot="1" x14ac:dyDescent="0.25">
      <c r="A27" s="42"/>
      <c r="B27" s="249"/>
      <c r="C27" s="250" t="s">
        <v>210</v>
      </c>
      <c r="D27" s="251"/>
      <c r="E27" s="252"/>
      <c r="F27" s="39"/>
      <c r="G27" s="4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row>
    <row r="28" spans="1:699" ht="15.75" customHeight="1" x14ac:dyDescent="0.2">
      <c r="A28" s="42"/>
      <c r="B28" s="213"/>
      <c r="C28" s="209"/>
      <c r="D28" s="209"/>
      <c r="E28" s="209"/>
      <c r="F28" s="39"/>
      <c r="G28" s="4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row>
    <row r="29" spans="1:699" ht="15.75" customHeight="1" x14ac:dyDescent="0.2">
      <c r="A29" s="42"/>
      <c r="B29" s="88" t="s">
        <v>18</v>
      </c>
      <c r="C29" s="209"/>
      <c r="D29" s="209"/>
      <c r="E29" s="209"/>
      <c r="F29" s="39"/>
      <c r="G29" s="4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row>
    <row r="30" spans="1:699" ht="15.75" customHeight="1" x14ac:dyDescent="0.2">
      <c r="A30" s="42"/>
      <c r="B30" s="88" t="s">
        <v>217</v>
      </c>
      <c r="C30" s="209"/>
      <c r="D30" s="209"/>
      <c r="E30" s="209"/>
      <c r="F30" s="39"/>
      <c r="G30" s="4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row>
    <row r="31" spans="1:699" ht="15.75" customHeight="1" x14ac:dyDescent="0.2">
      <c r="A31" s="42"/>
      <c r="B31" s="88" t="s">
        <v>218</v>
      </c>
      <c r="C31" s="39"/>
      <c r="D31" s="39"/>
      <c r="E31" s="39"/>
      <c r="F31" s="39"/>
      <c r="G31" s="4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row>
    <row r="32" spans="1:699" ht="15.75" customHeight="1" x14ac:dyDescent="0.2">
      <c r="A32" s="42"/>
      <c r="B32" s="88" t="s">
        <v>219</v>
      </c>
      <c r="C32" s="39"/>
      <c r="D32" s="39"/>
      <c r="E32" s="39"/>
      <c r="F32" s="39"/>
      <c r="G32" s="4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row>
    <row r="33" spans="1:699" ht="15.75" customHeight="1" x14ac:dyDescent="0.2">
      <c r="A33" s="42"/>
      <c r="B33" s="88" t="s">
        <v>222</v>
      </c>
      <c r="C33" s="39"/>
      <c r="D33" s="39"/>
      <c r="E33" s="39"/>
      <c r="F33" s="39"/>
      <c r="G33" s="4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row>
    <row r="34" spans="1:699" s="82" customFormat="1" ht="15.75" customHeight="1" x14ac:dyDescent="0.2">
      <c r="A34" s="42"/>
      <c r="B34" s="88"/>
      <c r="C34" s="39"/>
      <c r="D34" s="39"/>
      <c r="E34" s="39"/>
      <c r="F34" s="39"/>
      <c r="G34" s="4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1"/>
      <c r="GA34" s="201"/>
      <c r="GB34" s="201"/>
      <c r="GC34" s="201"/>
      <c r="GD34" s="201"/>
      <c r="GE34" s="201"/>
      <c r="GF34" s="201"/>
      <c r="GG34" s="201"/>
      <c r="GH34" s="201"/>
      <c r="GI34" s="201"/>
      <c r="GJ34" s="201"/>
      <c r="GK34" s="201"/>
      <c r="GL34" s="201"/>
      <c r="GM34" s="201"/>
      <c r="GN34" s="201"/>
      <c r="GO34" s="201"/>
      <c r="GP34" s="201"/>
      <c r="GQ34" s="201"/>
      <c r="GR34" s="201"/>
      <c r="GS34" s="201"/>
      <c r="GT34" s="201"/>
      <c r="GU34" s="201"/>
      <c r="GV34" s="201"/>
      <c r="GW34" s="201"/>
      <c r="GX34" s="201"/>
      <c r="GY34" s="201"/>
      <c r="GZ34" s="201"/>
      <c r="HA34" s="201"/>
      <c r="HB34" s="201"/>
      <c r="HC34" s="201"/>
      <c r="HD34" s="201"/>
      <c r="HE34" s="201"/>
      <c r="HF34" s="201"/>
      <c r="HG34" s="201"/>
      <c r="HH34" s="201"/>
      <c r="HI34" s="201"/>
      <c r="HJ34" s="201"/>
      <c r="HK34" s="201"/>
      <c r="HL34" s="201"/>
      <c r="HM34" s="201"/>
      <c r="HN34" s="201"/>
      <c r="HO34" s="201"/>
      <c r="HP34" s="201"/>
      <c r="HQ34" s="201"/>
      <c r="HR34" s="201"/>
      <c r="HS34" s="201"/>
      <c r="HT34" s="201"/>
      <c r="HU34" s="201"/>
      <c r="HV34" s="201"/>
      <c r="HW34" s="201"/>
      <c r="HX34" s="201"/>
      <c r="HY34" s="201"/>
      <c r="HZ34" s="201"/>
      <c r="IA34" s="201"/>
      <c r="IB34" s="201"/>
      <c r="IC34" s="201"/>
      <c r="ID34" s="201"/>
      <c r="IE34" s="201"/>
      <c r="IF34" s="201"/>
      <c r="IG34" s="201"/>
      <c r="IH34" s="201"/>
      <c r="II34" s="201"/>
      <c r="IJ34" s="201"/>
      <c r="IK34" s="201"/>
      <c r="IL34" s="201"/>
      <c r="IM34" s="201"/>
      <c r="IN34" s="201"/>
      <c r="IO34" s="201"/>
      <c r="IP34" s="201"/>
      <c r="IQ34" s="201"/>
      <c r="IR34" s="201"/>
      <c r="IS34" s="201"/>
      <c r="IT34" s="201"/>
      <c r="IU34" s="201"/>
      <c r="IV34" s="201"/>
      <c r="IW34" s="201"/>
      <c r="IX34" s="201"/>
      <c r="IY34" s="201"/>
      <c r="IZ34" s="201"/>
      <c r="JA34" s="201"/>
      <c r="JB34" s="201"/>
      <c r="JC34" s="201"/>
      <c r="JD34" s="201"/>
      <c r="JE34" s="201"/>
      <c r="JF34" s="201"/>
      <c r="JG34" s="201"/>
      <c r="JH34" s="201"/>
      <c r="JI34" s="201"/>
      <c r="JJ34" s="201"/>
      <c r="JK34" s="201"/>
      <c r="JL34" s="201"/>
      <c r="JM34" s="201"/>
      <c r="JN34" s="201"/>
      <c r="JO34" s="201"/>
      <c r="JP34" s="201"/>
      <c r="JQ34" s="201"/>
      <c r="JR34" s="201"/>
      <c r="JS34" s="201"/>
      <c r="JT34" s="201"/>
      <c r="JU34" s="201"/>
      <c r="JV34" s="201"/>
      <c r="JW34" s="201"/>
      <c r="JX34" s="201"/>
      <c r="JY34" s="201"/>
      <c r="JZ34" s="201"/>
      <c r="KA34" s="201"/>
      <c r="KB34" s="201"/>
      <c r="KC34" s="201"/>
      <c r="KD34" s="201"/>
      <c r="KE34" s="201"/>
      <c r="KF34" s="201"/>
      <c r="KG34" s="201"/>
      <c r="KH34" s="201"/>
      <c r="KI34" s="201"/>
      <c r="KJ34" s="201"/>
      <c r="KK34" s="201"/>
      <c r="KL34" s="201"/>
      <c r="KM34" s="201"/>
      <c r="KN34" s="201"/>
      <c r="KO34" s="201"/>
      <c r="KP34" s="201"/>
      <c r="KQ34" s="201"/>
      <c r="KR34" s="201"/>
      <c r="KS34" s="201"/>
      <c r="KT34" s="201"/>
      <c r="KU34" s="201"/>
      <c r="KV34" s="201"/>
      <c r="KW34" s="201"/>
      <c r="KX34" s="201"/>
      <c r="KY34" s="201"/>
      <c r="KZ34" s="201"/>
      <c r="LA34" s="201"/>
      <c r="LB34" s="201"/>
      <c r="LC34" s="201"/>
      <c r="LD34" s="201"/>
      <c r="LE34" s="201"/>
      <c r="LF34" s="201"/>
      <c r="LG34" s="201"/>
      <c r="LH34" s="201"/>
      <c r="LI34" s="201"/>
      <c r="LJ34" s="201"/>
      <c r="LK34" s="201"/>
      <c r="LL34" s="201"/>
      <c r="LM34" s="201"/>
      <c r="LN34" s="201"/>
      <c r="LO34" s="201"/>
      <c r="LP34" s="201"/>
      <c r="LQ34" s="201"/>
      <c r="LR34" s="201"/>
      <c r="LS34" s="201"/>
      <c r="LT34" s="201"/>
      <c r="LU34" s="201"/>
      <c r="LV34" s="201"/>
      <c r="LW34" s="201"/>
      <c r="LX34" s="201"/>
      <c r="LY34" s="201"/>
      <c r="LZ34" s="201"/>
      <c r="MA34" s="201"/>
      <c r="MB34" s="201"/>
      <c r="MC34" s="201"/>
      <c r="MD34" s="201"/>
      <c r="ME34" s="201"/>
      <c r="MF34" s="201"/>
      <c r="MG34" s="201"/>
      <c r="MH34" s="201"/>
      <c r="MI34" s="201"/>
      <c r="MJ34" s="201"/>
      <c r="MK34" s="201"/>
      <c r="ML34" s="201"/>
      <c r="MM34" s="201"/>
      <c r="MN34" s="201"/>
      <c r="MO34" s="201"/>
      <c r="MP34" s="201"/>
      <c r="MQ34" s="201"/>
      <c r="MR34" s="201"/>
      <c r="MS34" s="201"/>
      <c r="MT34" s="201"/>
      <c r="MU34" s="201"/>
      <c r="MV34" s="201"/>
      <c r="MW34" s="201"/>
      <c r="MX34" s="201"/>
      <c r="MY34" s="201"/>
      <c r="MZ34" s="201"/>
      <c r="NA34" s="201"/>
      <c r="NB34" s="201"/>
      <c r="NC34" s="201"/>
      <c r="ND34" s="201"/>
      <c r="NE34" s="201"/>
      <c r="NF34" s="201"/>
      <c r="NG34" s="201"/>
      <c r="NH34" s="201"/>
      <c r="NI34" s="201"/>
      <c r="NJ34" s="201"/>
      <c r="NK34" s="201"/>
      <c r="NL34" s="201"/>
      <c r="NM34" s="201"/>
      <c r="NN34" s="201"/>
      <c r="NO34" s="201"/>
      <c r="NP34" s="201"/>
      <c r="NQ34" s="201"/>
      <c r="NR34" s="201"/>
      <c r="NS34" s="201"/>
      <c r="NT34" s="201"/>
      <c r="NU34" s="201"/>
      <c r="NV34" s="201"/>
      <c r="NW34" s="201"/>
      <c r="NX34" s="201"/>
      <c r="NY34" s="201"/>
      <c r="NZ34" s="201"/>
      <c r="OA34" s="201"/>
      <c r="OB34" s="201"/>
      <c r="OC34" s="201"/>
      <c r="OD34" s="201"/>
      <c r="OE34" s="201"/>
      <c r="OF34" s="201"/>
      <c r="OG34" s="201"/>
      <c r="OH34" s="201"/>
      <c r="OI34" s="201"/>
      <c r="OJ34" s="201"/>
      <c r="OK34" s="201"/>
      <c r="OL34" s="201"/>
      <c r="OM34" s="201"/>
      <c r="ON34" s="201"/>
      <c r="OO34" s="201"/>
      <c r="OP34" s="201"/>
      <c r="OQ34" s="201"/>
      <c r="OR34" s="201"/>
      <c r="OS34" s="201"/>
      <c r="OT34" s="201"/>
      <c r="OU34" s="201"/>
      <c r="OV34" s="201"/>
      <c r="OW34" s="201"/>
      <c r="OX34" s="201"/>
      <c r="OY34" s="201"/>
      <c r="OZ34" s="201"/>
      <c r="PA34" s="201"/>
      <c r="PB34" s="201"/>
      <c r="PC34" s="201"/>
      <c r="PD34" s="201"/>
      <c r="PE34" s="201"/>
      <c r="PF34" s="201"/>
      <c r="PG34" s="201"/>
      <c r="PH34" s="201"/>
      <c r="PI34" s="201"/>
      <c r="PJ34" s="201"/>
      <c r="PK34" s="201"/>
      <c r="PL34" s="201"/>
      <c r="PM34" s="201"/>
      <c r="PN34" s="201"/>
      <c r="PO34" s="201"/>
      <c r="PP34" s="201"/>
      <c r="PQ34" s="201"/>
      <c r="PR34" s="201"/>
      <c r="PS34" s="201"/>
      <c r="PT34" s="201"/>
      <c r="PU34" s="201"/>
      <c r="PV34" s="201"/>
      <c r="PW34" s="201"/>
      <c r="PX34" s="201"/>
      <c r="PY34" s="201"/>
      <c r="PZ34" s="201"/>
      <c r="QA34" s="201"/>
      <c r="QB34" s="201"/>
      <c r="QC34" s="201"/>
      <c r="QD34" s="201"/>
      <c r="QE34" s="201"/>
      <c r="QF34" s="201"/>
      <c r="QG34" s="201"/>
      <c r="QH34" s="201"/>
      <c r="QI34" s="201"/>
      <c r="QJ34" s="201"/>
      <c r="QK34" s="201"/>
      <c r="QL34" s="201"/>
      <c r="QM34" s="201"/>
      <c r="QN34" s="201"/>
      <c r="QO34" s="201"/>
      <c r="QP34" s="201"/>
      <c r="QQ34" s="201"/>
      <c r="QR34" s="201"/>
      <c r="QS34" s="201"/>
      <c r="QT34" s="201"/>
      <c r="QU34" s="201"/>
      <c r="QV34" s="201"/>
      <c r="QW34" s="201"/>
      <c r="QX34" s="201"/>
      <c r="QY34" s="201"/>
      <c r="QZ34" s="201"/>
      <c r="RA34" s="201"/>
      <c r="RB34" s="201"/>
      <c r="RC34" s="201"/>
      <c r="RD34" s="201"/>
      <c r="RE34" s="201"/>
      <c r="RF34" s="201"/>
      <c r="RG34" s="201"/>
      <c r="RH34" s="201"/>
      <c r="RI34" s="201"/>
      <c r="RJ34" s="201"/>
      <c r="RK34" s="201"/>
      <c r="RL34" s="201"/>
      <c r="RM34" s="201"/>
      <c r="RN34" s="201"/>
      <c r="RO34" s="201"/>
      <c r="RP34" s="201"/>
      <c r="RQ34" s="201"/>
      <c r="RR34" s="201"/>
      <c r="RS34" s="201"/>
      <c r="RT34" s="201"/>
      <c r="RU34" s="201"/>
      <c r="RV34" s="201"/>
      <c r="RW34" s="201"/>
      <c r="RX34" s="201"/>
      <c r="RY34" s="201"/>
      <c r="RZ34" s="201"/>
      <c r="SA34" s="201"/>
      <c r="SB34" s="201"/>
      <c r="SC34" s="201"/>
      <c r="SD34" s="201"/>
      <c r="SE34" s="201"/>
      <c r="SF34" s="201"/>
      <c r="SG34" s="201"/>
      <c r="SH34" s="201"/>
      <c r="SI34" s="201"/>
      <c r="SJ34" s="201"/>
      <c r="SK34" s="201"/>
      <c r="SL34" s="201"/>
      <c r="SM34" s="201"/>
      <c r="SN34" s="201"/>
      <c r="SO34" s="201"/>
      <c r="SP34" s="201"/>
      <c r="SQ34" s="201"/>
      <c r="SR34" s="201"/>
      <c r="SS34" s="201"/>
      <c r="ST34" s="201"/>
      <c r="SU34" s="201"/>
      <c r="SV34" s="201"/>
      <c r="SW34" s="201"/>
      <c r="SX34" s="201"/>
      <c r="SY34" s="201"/>
      <c r="SZ34" s="201"/>
      <c r="TA34" s="201"/>
      <c r="TB34" s="201"/>
      <c r="TC34" s="201"/>
      <c r="TD34" s="201"/>
      <c r="TE34" s="201"/>
      <c r="TF34" s="201"/>
      <c r="TG34" s="201"/>
      <c r="TH34" s="201"/>
      <c r="TI34" s="201"/>
      <c r="TJ34" s="201"/>
      <c r="TK34" s="201"/>
      <c r="TL34" s="201"/>
      <c r="TM34" s="201"/>
      <c r="TN34" s="201"/>
      <c r="TO34" s="201"/>
      <c r="TP34" s="201"/>
      <c r="TQ34" s="201"/>
      <c r="TR34" s="201"/>
      <c r="TS34" s="201"/>
      <c r="TT34" s="201"/>
      <c r="TU34" s="201"/>
      <c r="TV34" s="201"/>
      <c r="TW34" s="201"/>
      <c r="TX34" s="201"/>
      <c r="TY34" s="201"/>
      <c r="TZ34" s="201"/>
      <c r="UA34" s="201"/>
      <c r="UB34" s="201"/>
      <c r="UC34" s="201"/>
      <c r="UD34" s="201"/>
      <c r="UE34" s="201"/>
      <c r="UF34" s="201"/>
      <c r="UG34" s="201"/>
      <c r="UH34" s="201"/>
      <c r="UI34" s="201"/>
      <c r="UJ34" s="201"/>
      <c r="UK34" s="201"/>
      <c r="UL34" s="201"/>
      <c r="UM34" s="201"/>
      <c r="UN34" s="201"/>
      <c r="UO34" s="201"/>
      <c r="UP34" s="201"/>
      <c r="UQ34" s="201"/>
      <c r="UR34" s="201"/>
      <c r="US34" s="201"/>
      <c r="UT34" s="201"/>
      <c r="UU34" s="201"/>
      <c r="UV34" s="201"/>
      <c r="UW34" s="201"/>
      <c r="UX34" s="201"/>
      <c r="UY34" s="201"/>
      <c r="UZ34" s="201"/>
      <c r="VA34" s="201"/>
      <c r="VB34" s="201"/>
      <c r="VC34" s="201"/>
      <c r="VD34" s="201"/>
      <c r="VE34" s="201"/>
      <c r="VF34" s="201"/>
      <c r="VG34" s="201"/>
      <c r="VH34" s="201"/>
      <c r="VI34" s="201"/>
      <c r="VJ34" s="201"/>
      <c r="VK34" s="201"/>
      <c r="VL34" s="201"/>
      <c r="VM34" s="201"/>
      <c r="VN34" s="201"/>
      <c r="VO34" s="201"/>
      <c r="VP34" s="201"/>
      <c r="VQ34" s="201"/>
      <c r="VR34" s="201"/>
      <c r="VS34" s="201"/>
      <c r="VT34" s="201"/>
      <c r="VU34" s="201"/>
      <c r="VV34" s="201"/>
      <c r="VW34" s="201"/>
      <c r="VX34" s="201"/>
      <c r="VY34" s="201"/>
      <c r="VZ34" s="201"/>
      <c r="WA34" s="201"/>
      <c r="WB34" s="201"/>
      <c r="WC34" s="201"/>
      <c r="WD34" s="201"/>
      <c r="WE34" s="201"/>
      <c r="WF34" s="201"/>
      <c r="WG34" s="201"/>
      <c r="WH34" s="201"/>
      <c r="WI34" s="201"/>
      <c r="WJ34" s="201"/>
      <c r="WK34" s="201"/>
      <c r="WL34" s="201"/>
      <c r="WM34" s="201"/>
      <c r="WN34" s="201"/>
      <c r="WO34" s="201"/>
      <c r="WP34" s="201"/>
      <c r="WQ34" s="201"/>
      <c r="WR34" s="201"/>
      <c r="WS34" s="201"/>
      <c r="WT34" s="201"/>
      <c r="WU34" s="201"/>
      <c r="WV34" s="201"/>
      <c r="WW34" s="201"/>
      <c r="WX34" s="201"/>
      <c r="WY34" s="201"/>
      <c r="WZ34" s="201"/>
      <c r="XA34" s="201"/>
      <c r="XB34" s="201"/>
      <c r="XC34" s="201"/>
      <c r="XD34" s="201"/>
      <c r="XE34" s="201"/>
      <c r="XF34" s="201"/>
      <c r="XG34" s="201"/>
      <c r="XH34" s="201"/>
      <c r="XI34" s="201"/>
      <c r="XJ34" s="201"/>
      <c r="XK34" s="201"/>
      <c r="XL34" s="201"/>
      <c r="XM34" s="201"/>
      <c r="XN34" s="201"/>
      <c r="XO34" s="201"/>
      <c r="XP34" s="201"/>
      <c r="XQ34" s="201"/>
      <c r="XR34" s="201"/>
      <c r="XS34" s="201"/>
      <c r="XT34" s="201"/>
      <c r="XU34" s="201"/>
      <c r="XV34" s="201"/>
      <c r="XW34" s="201"/>
      <c r="XX34" s="201"/>
      <c r="XY34" s="201"/>
      <c r="XZ34" s="201"/>
      <c r="YA34" s="201"/>
      <c r="YB34" s="201"/>
      <c r="YC34" s="201"/>
      <c r="YD34" s="201"/>
      <c r="YE34" s="201"/>
      <c r="YF34" s="201"/>
      <c r="YG34" s="201"/>
      <c r="YH34" s="201"/>
      <c r="YI34" s="201"/>
      <c r="YJ34" s="201"/>
      <c r="YK34" s="201"/>
      <c r="YL34" s="201"/>
      <c r="YM34" s="201"/>
      <c r="YN34" s="201"/>
      <c r="YO34" s="201"/>
      <c r="YP34" s="201"/>
      <c r="YQ34" s="201"/>
      <c r="YR34" s="201"/>
      <c r="YS34" s="201"/>
      <c r="YT34" s="201"/>
      <c r="YU34" s="201"/>
      <c r="YV34" s="201"/>
      <c r="YW34" s="201"/>
      <c r="YX34" s="201"/>
      <c r="YY34" s="201"/>
      <c r="YZ34" s="201"/>
      <c r="ZA34" s="201"/>
      <c r="ZB34" s="201"/>
      <c r="ZC34" s="201"/>
      <c r="ZD34" s="201"/>
      <c r="ZE34" s="201"/>
      <c r="ZF34" s="201"/>
      <c r="ZG34" s="201"/>
      <c r="ZH34" s="201"/>
      <c r="ZI34" s="201"/>
      <c r="ZJ34" s="201"/>
      <c r="ZK34" s="201"/>
      <c r="ZL34" s="201"/>
      <c r="ZM34" s="201"/>
      <c r="ZN34" s="201"/>
      <c r="ZO34" s="201"/>
      <c r="ZP34" s="201"/>
      <c r="ZQ34" s="201"/>
      <c r="ZR34" s="201"/>
      <c r="ZS34" s="201"/>
      <c r="ZT34" s="201"/>
      <c r="ZU34" s="201"/>
      <c r="ZV34" s="201"/>
      <c r="ZW34" s="201"/>
    </row>
    <row r="35" spans="1:699" s="82" customFormat="1" ht="15.75" customHeight="1" x14ac:dyDescent="0.2">
      <c r="A35" s="42">
        <v>1</v>
      </c>
      <c r="B35" s="39" t="s">
        <v>46</v>
      </c>
      <c r="C35" s="39"/>
      <c r="D35" s="39"/>
      <c r="E35" s="39"/>
      <c r="F35" s="39"/>
      <c r="G35" s="40"/>
      <c r="H35" s="200"/>
      <c r="I35" s="200"/>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1"/>
      <c r="GA35" s="201"/>
      <c r="GB35" s="201"/>
      <c r="GC35" s="201"/>
      <c r="GD35" s="201"/>
      <c r="GE35" s="201"/>
      <c r="GF35" s="201"/>
      <c r="GG35" s="201"/>
      <c r="GH35" s="201"/>
      <c r="GI35" s="201"/>
      <c r="GJ35" s="201"/>
      <c r="GK35" s="201"/>
      <c r="GL35" s="201"/>
      <c r="GM35" s="201"/>
      <c r="GN35" s="201"/>
      <c r="GO35" s="201"/>
      <c r="GP35" s="201"/>
      <c r="GQ35" s="201"/>
      <c r="GR35" s="201"/>
      <c r="GS35" s="201"/>
      <c r="GT35" s="201"/>
      <c r="GU35" s="201"/>
      <c r="GV35" s="201"/>
      <c r="GW35" s="201"/>
      <c r="GX35" s="201"/>
      <c r="GY35" s="201"/>
      <c r="GZ35" s="201"/>
      <c r="HA35" s="201"/>
      <c r="HB35" s="201"/>
      <c r="HC35" s="201"/>
      <c r="HD35" s="201"/>
      <c r="HE35" s="201"/>
      <c r="HF35" s="201"/>
      <c r="HG35" s="201"/>
      <c r="HH35" s="201"/>
      <c r="HI35" s="201"/>
      <c r="HJ35" s="201"/>
      <c r="HK35" s="201"/>
      <c r="HL35" s="201"/>
      <c r="HM35" s="201"/>
      <c r="HN35" s="201"/>
      <c r="HO35" s="201"/>
      <c r="HP35" s="201"/>
      <c r="HQ35" s="201"/>
      <c r="HR35" s="201"/>
      <c r="HS35" s="201"/>
      <c r="HT35" s="201"/>
      <c r="HU35" s="201"/>
      <c r="HV35" s="201"/>
      <c r="HW35" s="201"/>
      <c r="HX35" s="201"/>
      <c r="HY35" s="201"/>
      <c r="HZ35" s="201"/>
      <c r="IA35" s="201"/>
      <c r="IB35" s="201"/>
      <c r="IC35" s="201"/>
      <c r="ID35" s="201"/>
      <c r="IE35" s="201"/>
      <c r="IF35" s="201"/>
      <c r="IG35" s="201"/>
      <c r="IH35" s="201"/>
      <c r="II35" s="201"/>
      <c r="IJ35" s="201"/>
      <c r="IK35" s="201"/>
      <c r="IL35" s="201"/>
      <c r="IM35" s="201"/>
      <c r="IN35" s="201"/>
      <c r="IO35" s="201"/>
      <c r="IP35" s="201"/>
      <c r="IQ35" s="201"/>
      <c r="IR35" s="201"/>
      <c r="IS35" s="201"/>
      <c r="IT35" s="201"/>
      <c r="IU35" s="201"/>
      <c r="IV35" s="201"/>
      <c r="IW35" s="201"/>
      <c r="IX35" s="201"/>
      <c r="IY35" s="201"/>
      <c r="IZ35" s="201"/>
      <c r="JA35" s="201"/>
      <c r="JB35" s="201"/>
      <c r="JC35" s="201"/>
      <c r="JD35" s="201"/>
      <c r="JE35" s="201"/>
      <c r="JF35" s="201"/>
      <c r="JG35" s="201"/>
      <c r="JH35" s="201"/>
      <c r="JI35" s="201"/>
      <c r="JJ35" s="201"/>
      <c r="JK35" s="201"/>
      <c r="JL35" s="201"/>
      <c r="JM35" s="201"/>
      <c r="JN35" s="201"/>
      <c r="JO35" s="201"/>
      <c r="JP35" s="201"/>
      <c r="JQ35" s="201"/>
      <c r="JR35" s="201"/>
      <c r="JS35" s="201"/>
      <c r="JT35" s="201"/>
      <c r="JU35" s="201"/>
      <c r="JV35" s="201"/>
      <c r="JW35" s="201"/>
      <c r="JX35" s="201"/>
      <c r="JY35" s="201"/>
      <c r="JZ35" s="201"/>
      <c r="KA35" s="201"/>
      <c r="KB35" s="201"/>
      <c r="KC35" s="201"/>
      <c r="KD35" s="201"/>
      <c r="KE35" s="201"/>
      <c r="KF35" s="201"/>
      <c r="KG35" s="201"/>
      <c r="KH35" s="201"/>
      <c r="KI35" s="201"/>
      <c r="KJ35" s="201"/>
      <c r="KK35" s="201"/>
      <c r="KL35" s="201"/>
      <c r="KM35" s="201"/>
      <c r="KN35" s="201"/>
      <c r="KO35" s="201"/>
      <c r="KP35" s="201"/>
      <c r="KQ35" s="201"/>
      <c r="KR35" s="201"/>
      <c r="KS35" s="201"/>
      <c r="KT35" s="201"/>
      <c r="KU35" s="201"/>
      <c r="KV35" s="201"/>
      <c r="KW35" s="201"/>
      <c r="KX35" s="201"/>
      <c r="KY35" s="201"/>
      <c r="KZ35" s="201"/>
      <c r="LA35" s="201"/>
      <c r="LB35" s="201"/>
      <c r="LC35" s="201"/>
      <c r="LD35" s="201"/>
      <c r="LE35" s="201"/>
      <c r="LF35" s="201"/>
      <c r="LG35" s="201"/>
      <c r="LH35" s="201"/>
      <c r="LI35" s="201"/>
      <c r="LJ35" s="201"/>
      <c r="LK35" s="201"/>
      <c r="LL35" s="201"/>
      <c r="LM35" s="201"/>
      <c r="LN35" s="201"/>
      <c r="LO35" s="201"/>
      <c r="LP35" s="201"/>
      <c r="LQ35" s="201"/>
      <c r="LR35" s="201"/>
      <c r="LS35" s="201"/>
      <c r="LT35" s="201"/>
      <c r="LU35" s="201"/>
      <c r="LV35" s="201"/>
      <c r="LW35" s="201"/>
      <c r="LX35" s="201"/>
      <c r="LY35" s="201"/>
      <c r="LZ35" s="201"/>
      <c r="MA35" s="201"/>
      <c r="MB35" s="201"/>
      <c r="MC35" s="201"/>
      <c r="MD35" s="201"/>
      <c r="ME35" s="201"/>
      <c r="MF35" s="201"/>
      <c r="MG35" s="201"/>
      <c r="MH35" s="201"/>
      <c r="MI35" s="201"/>
      <c r="MJ35" s="201"/>
      <c r="MK35" s="201"/>
      <c r="ML35" s="201"/>
      <c r="MM35" s="201"/>
      <c r="MN35" s="201"/>
      <c r="MO35" s="201"/>
      <c r="MP35" s="201"/>
      <c r="MQ35" s="201"/>
      <c r="MR35" s="201"/>
      <c r="MS35" s="201"/>
      <c r="MT35" s="201"/>
      <c r="MU35" s="201"/>
      <c r="MV35" s="201"/>
      <c r="MW35" s="201"/>
      <c r="MX35" s="201"/>
      <c r="MY35" s="201"/>
      <c r="MZ35" s="201"/>
      <c r="NA35" s="201"/>
      <c r="NB35" s="201"/>
      <c r="NC35" s="201"/>
      <c r="ND35" s="201"/>
      <c r="NE35" s="201"/>
      <c r="NF35" s="201"/>
      <c r="NG35" s="201"/>
      <c r="NH35" s="201"/>
      <c r="NI35" s="201"/>
      <c r="NJ35" s="201"/>
      <c r="NK35" s="201"/>
      <c r="NL35" s="201"/>
      <c r="NM35" s="201"/>
      <c r="NN35" s="201"/>
      <c r="NO35" s="201"/>
      <c r="NP35" s="201"/>
      <c r="NQ35" s="201"/>
      <c r="NR35" s="201"/>
      <c r="NS35" s="201"/>
      <c r="NT35" s="201"/>
      <c r="NU35" s="201"/>
      <c r="NV35" s="201"/>
      <c r="NW35" s="201"/>
      <c r="NX35" s="201"/>
      <c r="NY35" s="201"/>
      <c r="NZ35" s="201"/>
      <c r="OA35" s="201"/>
      <c r="OB35" s="201"/>
      <c r="OC35" s="201"/>
      <c r="OD35" s="201"/>
      <c r="OE35" s="201"/>
      <c r="OF35" s="201"/>
      <c r="OG35" s="201"/>
      <c r="OH35" s="201"/>
      <c r="OI35" s="201"/>
      <c r="OJ35" s="201"/>
      <c r="OK35" s="201"/>
      <c r="OL35" s="201"/>
      <c r="OM35" s="201"/>
      <c r="ON35" s="201"/>
      <c r="OO35" s="201"/>
      <c r="OP35" s="201"/>
      <c r="OQ35" s="201"/>
      <c r="OR35" s="201"/>
      <c r="OS35" s="201"/>
      <c r="OT35" s="201"/>
      <c r="OU35" s="201"/>
      <c r="OV35" s="201"/>
      <c r="OW35" s="201"/>
      <c r="OX35" s="201"/>
      <c r="OY35" s="201"/>
      <c r="OZ35" s="201"/>
      <c r="PA35" s="201"/>
      <c r="PB35" s="201"/>
      <c r="PC35" s="201"/>
      <c r="PD35" s="201"/>
      <c r="PE35" s="201"/>
      <c r="PF35" s="201"/>
      <c r="PG35" s="201"/>
      <c r="PH35" s="201"/>
      <c r="PI35" s="201"/>
      <c r="PJ35" s="201"/>
      <c r="PK35" s="201"/>
      <c r="PL35" s="201"/>
      <c r="PM35" s="201"/>
      <c r="PN35" s="201"/>
      <c r="PO35" s="201"/>
      <c r="PP35" s="201"/>
      <c r="PQ35" s="201"/>
      <c r="PR35" s="201"/>
      <c r="PS35" s="201"/>
      <c r="PT35" s="201"/>
      <c r="PU35" s="201"/>
      <c r="PV35" s="201"/>
      <c r="PW35" s="201"/>
      <c r="PX35" s="201"/>
      <c r="PY35" s="201"/>
      <c r="PZ35" s="201"/>
      <c r="QA35" s="201"/>
      <c r="QB35" s="201"/>
      <c r="QC35" s="201"/>
      <c r="QD35" s="201"/>
      <c r="QE35" s="201"/>
      <c r="QF35" s="201"/>
      <c r="QG35" s="201"/>
      <c r="QH35" s="201"/>
      <c r="QI35" s="201"/>
      <c r="QJ35" s="201"/>
      <c r="QK35" s="201"/>
      <c r="QL35" s="201"/>
      <c r="QM35" s="201"/>
      <c r="QN35" s="201"/>
      <c r="QO35" s="201"/>
      <c r="QP35" s="201"/>
      <c r="QQ35" s="201"/>
      <c r="QR35" s="201"/>
      <c r="QS35" s="201"/>
      <c r="QT35" s="201"/>
      <c r="QU35" s="201"/>
      <c r="QV35" s="201"/>
      <c r="QW35" s="201"/>
      <c r="QX35" s="201"/>
      <c r="QY35" s="201"/>
      <c r="QZ35" s="201"/>
      <c r="RA35" s="201"/>
      <c r="RB35" s="201"/>
      <c r="RC35" s="201"/>
      <c r="RD35" s="201"/>
      <c r="RE35" s="201"/>
      <c r="RF35" s="201"/>
      <c r="RG35" s="201"/>
      <c r="RH35" s="201"/>
      <c r="RI35" s="201"/>
      <c r="RJ35" s="201"/>
      <c r="RK35" s="201"/>
      <c r="RL35" s="201"/>
      <c r="RM35" s="201"/>
      <c r="RN35" s="201"/>
      <c r="RO35" s="201"/>
      <c r="RP35" s="201"/>
      <c r="RQ35" s="201"/>
      <c r="RR35" s="201"/>
      <c r="RS35" s="201"/>
      <c r="RT35" s="201"/>
      <c r="RU35" s="201"/>
      <c r="RV35" s="201"/>
      <c r="RW35" s="201"/>
      <c r="RX35" s="201"/>
      <c r="RY35" s="201"/>
      <c r="RZ35" s="201"/>
      <c r="SA35" s="201"/>
      <c r="SB35" s="201"/>
      <c r="SC35" s="201"/>
      <c r="SD35" s="201"/>
      <c r="SE35" s="201"/>
      <c r="SF35" s="201"/>
      <c r="SG35" s="201"/>
      <c r="SH35" s="201"/>
      <c r="SI35" s="201"/>
      <c r="SJ35" s="201"/>
      <c r="SK35" s="201"/>
      <c r="SL35" s="201"/>
      <c r="SM35" s="201"/>
      <c r="SN35" s="201"/>
      <c r="SO35" s="201"/>
      <c r="SP35" s="201"/>
      <c r="SQ35" s="201"/>
      <c r="SR35" s="201"/>
      <c r="SS35" s="201"/>
      <c r="ST35" s="201"/>
      <c r="SU35" s="201"/>
      <c r="SV35" s="201"/>
      <c r="SW35" s="201"/>
      <c r="SX35" s="201"/>
      <c r="SY35" s="201"/>
      <c r="SZ35" s="201"/>
      <c r="TA35" s="201"/>
      <c r="TB35" s="201"/>
      <c r="TC35" s="201"/>
      <c r="TD35" s="201"/>
      <c r="TE35" s="201"/>
      <c r="TF35" s="201"/>
      <c r="TG35" s="201"/>
      <c r="TH35" s="201"/>
      <c r="TI35" s="201"/>
      <c r="TJ35" s="201"/>
      <c r="TK35" s="201"/>
      <c r="TL35" s="201"/>
      <c r="TM35" s="201"/>
      <c r="TN35" s="201"/>
      <c r="TO35" s="201"/>
      <c r="TP35" s="201"/>
      <c r="TQ35" s="201"/>
      <c r="TR35" s="201"/>
      <c r="TS35" s="201"/>
      <c r="TT35" s="201"/>
      <c r="TU35" s="201"/>
      <c r="TV35" s="201"/>
      <c r="TW35" s="201"/>
      <c r="TX35" s="201"/>
      <c r="TY35" s="201"/>
      <c r="TZ35" s="201"/>
      <c r="UA35" s="201"/>
      <c r="UB35" s="201"/>
      <c r="UC35" s="201"/>
      <c r="UD35" s="201"/>
      <c r="UE35" s="201"/>
      <c r="UF35" s="201"/>
      <c r="UG35" s="201"/>
      <c r="UH35" s="201"/>
      <c r="UI35" s="201"/>
      <c r="UJ35" s="201"/>
      <c r="UK35" s="201"/>
      <c r="UL35" s="201"/>
      <c r="UM35" s="201"/>
      <c r="UN35" s="201"/>
      <c r="UO35" s="201"/>
      <c r="UP35" s="201"/>
      <c r="UQ35" s="201"/>
      <c r="UR35" s="201"/>
      <c r="US35" s="201"/>
      <c r="UT35" s="201"/>
      <c r="UU35" s="201"/>
      <c r="UV35" s="201"/>
      <c r="UW35" s="201"/>
      <c r="UX35" s="201"/>
      <c r="UY35" s="201"/>
      <c r="UZ35" s="201"/>
      <c r="VA35" s="201"/>
      <c r="VB35" s="201"/>
      <c r="VC35" s="201"/>
      <c r="VD35" s="201"/>
      <c r="VE35" s="201"/>
      <c r="VF35" s="201"/>
      <c r="VG35" s="201"/>
      <c r="VH35" s="201"/>
      <c r="VI35" s="201"/>
      <c r="VJ35" s="201"/>
      <c r="VK35" s="201"/>
      <c r="VL35" s="201"/>
      <c r="VM35" s="201"/>
      <c r="VN35" s="201"/>
      <c r="VO35" s="201"/>
      <c r="VP35" s="201"/>
      <c r="VQ35" s="201"/>
      <c r="VR35" s="201"/>
      <c r="VS35" s="201"/>
      <c r="VT35" s="201"/>
      <c r="VU35" s="201"/>
      <c r="VV35" s="201"/>
      <c r="VW35" s="201"/>
      <c r="VX35" s="201"/>
      <c r="VY35" s="201"/>
      <c r="VZ35" s="201"/>
      <c r="WA35" s="201"/>
      <c r="WB35" s="201"/>
      <c r="WC35" s="201"/>
      <c r="WD35" s="201"/>
      <c r="WE35" s="201"/>
      <c r="WF35" s="201"/>
      <c r="WG35" s="201"/>
      <c r="WH35" s="201"/>
      <c r="WI35" s="201"/>
      <c r="WJ35" s="201"/>
      <c r="WK35" s="201"/>
      <c r="WL35" s="201"/>
      <c r="WM35" s="201"/>
      <c r="WN35" s="201"/>
      <c r="WO35" s="201"/>
      <c r="WP35" s="201"/>
      <c r="WQ35" s="201"/>
      <c r="WR35" s="201"/>
      <c r="WS35" s="201"/>
      <c r="WT35" s="201"/>
      <c r="WU35" s="201"/>
      <c r="WV35" s="201"/>
      <c r="WW35" s="201"/>
      <c r="WX35" s="201"/>
      <c r="WY35" s="201"/>
      <c r="WZ35" s="201"/>
      <c r="XA35" s="201"/>
      <c r="XB35" s="201"/>
      <c r="XC35" s="201"/>
      <c r="XD35" s="201"/>
      <c r="XE35" s="201"/>
      <c r="XF35" s="201"/>
      <c r="XG35" s="201"/>
      <c r="XH35" s="201"/>
      <c r="XI35" s="201"/>
      <c r="XJ35" s="201"/>
      <c r="XK35" s="201"/>
      <c r="XL35" s="201"/>
      <c r="XM35" s="201"/>
      <c r="XN35" s="201"/>
      <c r="XO35" s="201"/>
      <c r="XP35" s="201"/>
      <c r="XQ35" s="201"/>
      <c r="XR35" s="201"/>
      <c r="XS35" s="201"/>
      <c r="XT35" s="201"/>
      <c r="XU35" s="201"/>
      <c r="XV35" s="201"/>
      <c r="XW35" s="201"/>
      <c r="XX35" s="201"/>
      <c r="XY35" s="201"/>
      <c r="XZ35" s="201"/>
      <c r="YA35" s="201"/>
      <c r="YB35" s="201"/>
      <c r="YC35" s="201"/>
      <c r="YD35" s="201"/>
      <c r="YE35" s="201"/>
      <c r="YF35" s="201"/>
      <c r="YG35" s="201"/>
      <c r="YH35" s="201"/>
      <c r="YI35" s="201"/>
      <c r="YJ35" s="201"/>
      <c r="YK35" s="201"/>
      <c r="YL35" s="201"/>
      <c r="YM35" s="201"/>
      <c r="YN35" s="201"/>
      <c r="YO35" s="201"/>
      <c r="YP35" s="201"/>
      <c r="YQ35" s="201"/>
      <c r="YR35" s="201"/>
      <c r="YS35" s="201"/>
      <c r="YT35" s="201"/>
      <c r="YU35" s="201"/>
      <c r="YV35" s="201"/>
      <c r="YW35" s="201"/>
      <c r="YX35" s="201"/>
      <c r="YY35" s="201"/>
      <c r="YZ35" s="201"/>
      <c r="ZA35" s="201"/>
      <c r="ZB35" s="201"/>
      <c r="ZC35" s="201"/>
      <c r="ZD35" s="201"/>
      <c r="ZE35" s="201"/>
      <c r="ZF35" s="201"/>
      <c r="ZG35" s="201"/>
      <c r="ZH35" s="201"/>
      <c r="ZI35" s="201"/>
      <c r="ZJ35" s="201"/>
      <c r="ZK35" s="201"/>
      <c r="ZL35" s="201"/>
      <c r="ZM35" s="201"/>
      <c r="ZN35" s="201"/>
      <c r="ZO35" s="201"/>
      <c r="ZP35" s="201"/>
      <c r="ZQ35" s="201"/>
      <c r="ZR35" s="201"/>
      <c r="ZS35" s="201"/>
      <c r="ZT35" s="201"/>
      <c r="ZU35" s="201"/>
      <c r="ZV35" s="201"/>
      <c r="ZW35" s="201"/>
    </row>
    <row r="36" spans="1:699" ht="15.75" customHeight="1" x14ac:dyDescent="0.2">
      <c r="A36" s="42"/>
      <c r="B36" s="133" t="s">
        <v>226</v>
      </c>
      <c r="C36" s="39"/>
      <c r="D36" s="39"/>
      <c r="E36" s="39"/>
      <c r="F36" s="39"/>
      <c r="G36" s="4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row>
    <row r="37" spans="1:699" ht="15.75" customHeight="1" x14ac:dyDescent="0.2">
      <c r="A37" s="42"/>
      <c r="B37" s="133"/>
      <c r="C37" s="39"/>
      <c r="D37" s="39"/>
      <c r="E37" s="39"/>
      <c r="F37" s="39"/>
      <c r="G37" s="4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row>
    <row r="38" spans="1:699" ht="15.75" customHeight="1" x14ac:dyDescent="0.2">
      <c r="A38" s="42">
        <v>3.5</v>
      </c>
      <c r="B38" s="39" t="s">
        <v>21</v>
      </c>
      <c r="C38" s="39"/>
      <c r="D38" s="39"/>
      <c r="E38" s="39"/>
      <c r="F38" s="39"/>
      <c r="G38" s="4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row>
    <row r="39" spans="1:699" ht="15.75" customHeight="1" x14ac:dyDescent="0.2">
      <c r="A39" s="42"/>
      <c r="B39" s="39" t="s">
        <v>227</v>
      </c>
      <c r="C39" s="39"/>
      <c r="D39" s="39"/>
      <c r="E39" s="39"/>
      <c r="F39" s="39"/>
      <c r="G39" s="40"/>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82"/>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82"/>
      <c r="JY39" s="82"/>
      <c r="JZ39" s="82"/>
      <c r="KA39" s="82"/>
      <c r="KB39" s="82"/>
      <c r="KC39" s="82"/>
      <c r="KD39" s="82"/>
      <c r="KE39" s="82"/>
      <c r="KF39" s="82"/>
      <c r="KG39" s="82"/>
      <c r="KH39" s="82"/>
      <c r="KI39" s="82"/>
      <c r="KJ39" s="82"/>
      <c r="KK39" s="82"/>
      <c r="KL39" s="82"/>
      <c r="KM39" s="82"/>
      <c r="KN39" s="82"/>
      <c r="KO39" s="82"/>
      <c r="KP39" s="82"/>
      <c r="KQ39" s="82"/>
      <c r="KR39" s="82"/>
      <c r="KS39" s="82"/>
      <c r="KT39" s="82"/>
      <c r="KU39" s="82"/>
      <c r="KV39" s="82"/>
      <c r="KW39" s="82"/>
      <c r="KX39" s="82"/>
      <c r="KY39" s="82"/>
      <c r="KZ39" s="82"/>
      <c r="LA39" s="82"/>
      <c r="LB39" s="82"/>
      <c r="LC39" s="82"/>
      <c r="LD39" s="82"/>
      <c r="LE39" s="82"/>
      <c r="LF39" s="82"/>
      <c r="LG39" s="82"/>
      <c r="LH39" s="82"/>
      <c r="LI39" s="82"/>
      <c r="LJ39" s="82"/>
      <c r="LK39" s="82"/>
      <c r="LL39" s="82"/>
      <c r="LM39" s="82"/>
      <c r="LN39" s="82"/>
      <c r="LO39" s="82"/>
      <c r="LP39" s="82"/>
      <c r="LQ39" s="82"/>
      <c r="LR39" s="82"/>
      <c r="LS39" s="82"/>
      <c r="LT39" s="82"/>
      <c r="LU39" s="82"/>
      <c r="LV39" s="82"/>
      <c r="LW39" s="82"/>
      <c r="LX39" s="82"/>
      <c r="LY39" s="82"/>
      <c r="LZ39" s="82"/>
      <c r="MA39" s="82"/>
      <c r="MB39" s="82"/>
      <c r="MC39" s="82"/>
      <c r="MD39" s="82"/>
      <c r="ME39" s="82"/>
      <c r="MF39" s="82"/>
      <c r="MG39" s="82"/>
      <c r="MH39" s="82"/>
      <c r="MI39" s="82"/>
      <c r="MJ39" s="82"/>
      <c r="MK39" s="82"/>
      <c r="ML39" s="82"/>
      <c r="MM39" s="82"/>
      <c r="MN39" s="82"/>
      <c r="MO39" s="82"/>
      <c r="MP39" s="82"/>
      <c r="MQ39" s="82"/>
      <c r="MR39" s="82"/>
      <c r="MS39" s="82"/>
      <c r="MT39" s="82"/>
      <c r="MU39" s="82"/>
      <c r="MV39" s="82"/>
      <c r="MW39" s="82"/>
      <c r="MX39" s="82"/>
      <c r="MY39" s="82"/>
      <c r="MZ39" s="82"/>
      <c r="NA39" s="82"/>
      <c r="NB39" s="82"/>
      <c r="NC39" s="82"/>
      <c r="ND39" s="82"/>
      <c r="NE39" s="82"/>
      <c r="NF39" s="82"/>
      <c r="NG39" s="82"/>
      <c r="NH39" s="82"/>
      <c r="NI39" s="82"/>
      <c r="NJ39" s="82"/>
      <c r="NK39" s="82"/>
      <c r="NL39" s="82"/>
      <c r="NM39" s="82"/>
      <c r="NN39" s="82"/>
      <c r="NO39" s="82"/>
      <c r="NP39" s="82"/>
      <c r="NQ39" s="82"/>
      <c r="NR39" s="82"/>
      <c r="NS39" s="82"/>
      <c r="NT39" s="82"/>
      <c r="NU39" s="82"/>
      <c r="NV39" s="82"/>
      <c r="NW39" s="82"/>
      <c r="NX39" s="82"/>
      <c r="NY39" s="82"/>
      <c r="NZ39" s="82"/>
      <c r="OA39" s="82"/>
      <c r="OB39" s="82"/>
      <c r="OC39" s="82"/>
      <c r="OD39" s="82"/>
      <c r="OE39" s="82"/>
      <c r="OF39" s="82"/>
      <c r="OG39" s="82"/>
      <c r="OH39" s="82"/>
      <c r="OI39" s="82"/>
      <c r="OJ39" s="82"/>
      <c r="OK39" s="82"/>
      <c r="OL39" s="82"/>
      <c r="OM39" s="82"/>
      <c r="ON39" s="82"/>
      <c r="OO39" s="82"/>
      <c r="OP39" s="82"/>
      <c r="OQ39" s="82"/>
      <c r="OR39" s="82"/>
      <c r="OS39" s="82"/>
      <c r="OT39" s="82"/>
      <c r="OU39" s="82"/>
      <c r="OV39" s="82"/>
      <c r="OW39" s="82"/>
      <c r="OX39" s="82"/>
      <c r="OY39" s="82"/>
      <c r="OZ39" s="82"/>
      <c r="PA39" s="82"/>
      <c r="PB39" s="82"/>
      <c r="PC39" s="82"/>
      <c r="PD39" s="82"/>
      <c r="PE39" s="82"/>
      <c r="PF39" s="82"/>
      <c r="PG39" s="82"/>
      <c r="PH39" s="82"/>
      <c r="PI39" s="82"/>
      <c r="PJ39" s="82"/>
      <c r="PK39" s="82"/>
      <c r="PL39" s="82"/>
      <c r="PM39" s="82"/>
      <c r="PN39" s="82"/>
      <c r="PO39" s="82"/>
      <c r="PP39" s="82"/>
      <c r="PQ39" s="82"/>
      <c r="PR39" s="82"/>
      <c r="PS39" s="82"/>
      <c r="PT39" s="82"/>
      <c r="PU39" s="82"/>
      <c r="PV39" s="82"/>
      <c r="PW39" s="82"/>
      <c r="PX39" s="82"/>
      <c r="PY39" s="82"/>
      <c r="PZ39" s="82"/>
      <c r="QA39" s="82"/>
      <c r="QB39" s="82"/>
      <c r="QC39" s="82"/>
      <c r="QD39" s="82"/>
      <c r="QE39" s="82"/>
      <c r="QF39" s="82"/>
      <c r="QG39" s="82"/>
      <c r="QH39" s="82"/>
      <c r="QI39" s="82"/>
      <c r="QJ39" s="82"/>
      <c r="QK39" s="82"/>
      <c r="QL39" s="82"/>
      <c r="QM39" s="82"/>
      <c r="QN39" s="82"/>
      <c r="QO39" s="82"/>
      <c r="QP39" s="82"/>
      <c r="QQ39" s="82"/>
      <c r="QR39" s="82"/>
      <c r="QS39" s="82"/>
      <c r="QT39" s="82"/>
      <c r="QU39" s="82"/>
      <c r="QV39" s="82"/>
      <c r="QW39" s="82"/>
      <c r="QX39" s="82"/>
      <c r="QY39" s="82"/>
      <c r="QZ39" s="82"/>
      <c r="RA39" s="82"/>
      <c r="RB39" s="82"/>
      <c r="RC39" s="82"/>
      <c r="RD39" s="82"/>
      <c r="RE39" s="82"/>
      <c r="RF39" s="82"/>
      <c r="RG39" s="82"/>
      <c r="RH39" s="82"/>
      <c r="RI39" s="82"/>
      <c r="RJ39" s="82"/>
      <c r="RK39" s="82"/>
      <c r="RL39" s="82"/>
      <c r="RM39" s="82"/>
      <c r="RN39" s="82"/>
      <c r="RO39" s="82"/>
      <c r="RP39" s="82"/>
      <c r="RQ39" s="82"/>
      <c r="RR39" s="82"/>
      <c r="RS39" s="82"/>
      <c r="RT39" s="82"/>
      <c r="RU39" s="82"/>
      <c r="RV39" s="82"/>
      <c r="RW39" s="82"/>
      <c r="RX39" s="82"/>
      <c r="RY39" s="82"/>
      <c r="RZ39" s="82"/>
      <c r="SA39" s="82"/>
      <c r="SB39" s="82"/>
      <c r="SC39" s="82"/>
      <c r="SD39" s="82"/>
      <c r="SE39" s="82"/>
      <c r="SF39" s="82"/>
      <c r="SG39" s="82"/>
      <c r="SH39" s="82"/>
      <c r="SI39" s="82"/>
      <c r="SJ39" s="82"/>
      <c r="SK39" s="82"/>
      <c r="SL39" s="82"/>
      <c r="SM39" s="82"/>
      <c r="SN39" s="82"/>
      <c r="SO39" s="82"/>
      <c r="SP39" s="82"/>
      <c r="SQ39" s="82"/>
      <c r="SR39" s="82"/>
      <c r="SS39" s="82"/>
      <c r="ST39" s="82"/>
      <c r="SU39" s="82"/>
      <c r="SV39" s="82"/>
      <c r="SW39" s="82"/>
      <c r="SX39" s="82"/>
      <c r="SY39" s="82"/>
      <c r="SZ39" s="82"/>
      <c r="TA39" s="82"/>
      <c r="TB39" s="82"/>
      <c r="TC39" s="82"/>
      <c r="TD39" s="82"/>
      <c r="TE39" s="82"/>
      <c r="TF39" s="82"/>
      <c r="TG39" s="82"/>
      <c r="TH39" s="82"/>
      <c r="TI39" s="82"/>
      <c r="TJ39" s="82"/>
      <c r="TK39" s="82"/>
      <c r="TL39" s="82"/>
      <c r="TM39" s="82"/>
      <c r="TN39" s="82"/>
      <c r="TO39" s="82"/>
      <c r="TP39" s="82"/>
      <c r="TQ39" s="82"/>
      <c r="TR39" s="82"/>
      <c r="TS39" s="82"/>
      <c r="TT39" s="82"/>
      <c r="TU39" s="82"/>
      <c r="TV39" s="82"/>
      <c r="TW39" s="82"/>
      <c r="TX39" s="82"/>
      <c r="TY39" s="82"/>
      <c r="TZ39" s="82"/>
      <c r="UA39" s="82"/>
      <c r="UB39" s="82"/>
      <c r="UC39" s="82"/>
      <c r="UD39" s="82"/>
      <c r="UE39" s="82"/>
      <c r="UF39" s="82"/>
      <c r="UG39" s="82"/>
      <c r="UH39" s="82"/>
      <c r="UI39" s="82"/>
      <c r="UJ39" s="82"/>
      <c r="UK39" s="82"/>
      <c r="UL39" s="82"/>
      <c r="UM39" s="82"/>
      <c r="UN39" s="82"/>
      <c r="UO39" s="82"/>
      <c r="UP39" s="82"/>
      <c r="UQ39" s="82"/>
      <c r="UR39" s="82"/>
      <c r="US39" s="82"/>
      <c r="UT39" s="82"/>
      <c r="UU39" s="82"/>
      <c r="UV39" s="82"/>
      <c r="UW39" s="82"/>
      <c r="UX39" s="82"/>
      <c r="UY39" s="82"/>
      <c r="UZ39" s="82"/>
      <c r="VA39" s="82"/>
      <c r="VB39" s="82"/>
      <c r="VC39" s="82"/>
      <c r="VD39" s="82"/>
      <c r="VE39" s="82"/>
      <c r="VF39" s="82"/>
      <c r="VG39" s="82"/>
      <c r="VH39" s="82"/>
      <c r="VI39" s="82"/>
      <c r="VJ39" s="82"/>
      <c r="VK39" s="82"/>
      <c r="VL39" s="82"/>
      <c r="VM39" s="82"/>
      <c r="VN39" s="82"/>
      <c r="VO39" s="82"/>
      <c r="VP39" s="82"/>
      <c r="VQ39" s="82"/>
      <c r="VR39" s="82"/>
      <c r="VS39" s="82"/>
      <c r="VT39" s="82"/>
      <c r="VU39" s="82"/>
      <c r="VV39" s="82"/>
      <c r="VW39" s="82"/>
      <c r="VX39" s="82"/>
      <c r="VY39" s="82"/>
      <c r="VZ39" s="82"/>
      <c r="WA39" s="82"/>
      <c r="WB39" s="82"/>
      <c r="WC39" s="82"/>
      <c r="WD39" s="82"/>
      <c r="WE39" s="82"/>
      <c r="WF39" s="82"/>
      <c r="WG39" s="82"/>
      <c r="WH39" s="82"/>
      <c r="WI39" s="82"/>
      <c r="WJ39" s="82"/>
      <c r="WK39" s="82"/>
      <c r="WL39" s="82"/>
      <c r="WM39" s="82"/>
      <c r="WN39" s="82"/>
      <c r="WO39" s="82"/>
      <c r="WP39" s="82"/>
      <c r="WQ39" s="82"/>
      <c r="WR39" s="82"/>
      <c r="WS39" s="82"/>
      <c r="WT39" s="82"/>
      <c r="WU39" s="82"/>
      <c r="WV39" s="82"/>
      <c r="WW39" s="82"/>
      <c r="WX39" s="82"/>
      <c r="WY39" s="82"/>
      <c r="WZ39" s="82"/>
      <c r="XA39" s="82"/>
      <c r="XB39" s="82"/>
      <c r="XC39" s="82"/>
      <c r="XD39" s="82"/>
      <c r="XE39" s="82"/>
      <c r="XF39" s="82"/>
      <c r="XG39" s="82"/>
      <c r="XH39" s="82"/>
      <c r="XI39" s="82"/>
      <c r="XJ39" s="82"/>
      <c r="XK39" s="82"/>
      <c r="XL39" s="82"/>
      <c r="XM39" s="82"/>
      <c r="XN39" s="82"/>
      <c r="XO39" s="82"/>
      <c r="XP39" s="82"/>
      <c r="XQ39" s="82"/>
      <c r="XR39" s="82"/>
      <c r="XS39" s="82"/>
      <c r="XT39" s="82"/>
      <c r="XU39" s="82"/>
      <c r="XV39" s="82"/>
      <c r="XW39" s="82"/>
      <c r="XX39" s="82"/>
      <c r="XY39" s="82"/>
      <c r="XZ39" s="82"/>
      <c r="YA39" s="82"/>
      <c r="YB39" s="82"/>
      <c r="YC39" s="82"/>
      <c r="YD39" s="82"/>
      <c r="YE39" s="82"/>
      <c r="YF39" s="82"/>
      <c r="YG39" s="82"/>
      <c r="YH39" s="82"/>
      <c r="YI39" s="82"/>
      <c r="YJ39" s="82"/>
      <c r="YK39" s="82"/>
      <c r="YL39" s="82"/>
      <c r="YM39" s="82"/>
      <c r="YN39" s="82"/>
      <c r="YO39" s="82"/>
      <c r="YP39" s="82"/>
      <c r="YQ39" s="82"/>
      <c r="YR39" s="82"/>
      <c r="YS39" s="82"/>
      <c r="YT39" s="82"/>
      <c r="YU39" s="82"/>
      <c r="YV39" s="82"/>
      <c r="YW39" s="82"/>
      <c r="YX39" s="82"/>
      <c r="YY39" s="82"/>
      <c r="YZ39" s="82"/>
      <c r="ZA39" s="82"/>
      <c r="ZB39" s="82"/>
      <c r="ZC39" s="82"/>
      <c r="ZD39" s="82"/>
      <c r="ZE39" s="82"/>
      <c r="ZF39" s="82"/>
      <c r="ZG39" s="82"/>
      <c r="ZH39" s="82"/>
      <c r="ZI39" s="82"/>
      <c r="ZJ39" s="82"/>
      <c r="ZK39" s="82"/>
      <c r="ZL39" s="82"/>
      <c r="ZM39" s="82"/>
      <c r="ZN39" s="82"/>
      <c r="ZO39" s="82"/>
      <c r="ZP39" s="82"/>
      <c r="ZQ39" s="82"/>
      <c r="ZR39" s="82"/>
      <c r="ZS39" s="82"/>
      <c r="ZT39" s="82"/>
      <c r="ZU39" s="82"/>
      <c r="ZV39" s="82"/>
      <c r="ZW39" s="82"/>
    </row>
    <row r="40" spans="1:699" ht="15.75" customHeight="1" x14ac:dyDescent="0.2">
      <c r="A40" s="42"/>
      <c r="B40" s="39" t="s">
        <v>229</v>
      </c>
      <c r="C40" s="39"/>
      <c r="D40" s="256"/>
      <c r="E40" s="70"/>
      <c r="F40" s="70"/>
      <c r="G40" s="40"/>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82"/>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82"/>
      <c r="JY40" s="82"/>
      <c r="JZ40" s="82"/>
      <c r="KA40" s="82"/>
      <c r="KB40" s="82"/>
      <c r="KC40" s="82"/>
      <c r="KD40" s="82"/>
      <c r="KE40" s="82"/>
      <c r="KF40" s="82"/>
      <c r="KG40" s="82"/>
      <c r="KH40" s="82"/>
      <c r="KI40" s="82"/>
      <c r="KJ40" s="82"/>
      <c r="KK40" s="82"/>
      <c r="KL40" s="82"/>
      <c r="KM40" s="82"/>
      <c r="KN40" s="82"/>
      <c r="KO40" s="82"/>
      <c r="KP40" s="82"/>
      <c r="KQ40" s="82"/>
      <c r="KR40" s="82"/>
      <c r="KS40" s="82"/>
      <c r="KT40" s="82"/>
      <c r="KU40" s="82"/>
      <c r="KV40" s="82"/>
      <c r="KW40" s="82"/>
      <c r="KX40" s="82"/>
      <c r="KY40" s="82"/>
      <c r="KZ40" s="82"/>
      <c r="LA40" s="82"/>
      <c r="LB40" s="82"/>
      <c r="LC40" s="82"/>
      <c r="LD40" s="82"/>
      <c r="LE40" s="82"/>
      <c r="LF40" s="82"/>
      <c r="LG40" s="82"/>
      <c r="LH40" s="82"/>
      <c r="LI40" s="82"/>
      <c r="LJ40" s="82"/>
      <c r="LK40" s="82"/>
      <c r="LL40" s="82"/>
      <c r="LM40" s="82"/>
      <c r="LN40" s="82"/>
      <c r="LO40" s="82"/>
      <c r="LP40" s="82"/>
      <c r="LQ40" s="82"/>
      <c r="LR40" s="82"/>
      <c r="LS40" s="82"/>
      <c r="LT40" s="82"/>
      <c r="LU40" s="82"/>
      <c r="LV40" s="82"/>
      <c r="LW40" s="82"/>
      <c r="LX40" s="82"/>
      <c r="LY40" s="82"/>
      <c r="LZ40" s="82"/>
      <c r="MA40" s="82"/>
      <c r="MB40" s="82"/>
      <c r="MC40" s="82"/>
      <c r="MD40" s="82"/>
      <c r="ME40" s="82"/>
      <c r="MF40" s="82"/>
      <c r="MG40" s="82"/>
      <c r="MH40" s="82"/>
      <c r="MI40" s="82"/>
      <c r="MJ40" s="82"/>
      <c r="MK40" s="82"/>
      <c r="ML40" s="82"/>
      <c r="MM40" s="82"/>
      <c r="MN40" s="82"/>
      <c r="MO40" s="82"/>
      <c r="MP40" s="82"/>
      <c r="MQ40" s="82"/>
      <c r="MR40" s="82"/>
      <c r="MS40" s="82"/>
      <c r="MT40" s="82"/>
      <c r="MU40" s="82"/>
      <c r="MV40" s="82"/>
      <c r="MW40" s="82"/>
      <c r="MX40" s="82"/>
      <c r="MY40" s="82"/>
      <c r="MZ40" s="82"/>
      <c r="NA40" s="82"/>
      <c r="NB40" s="82"/>
      <c r="NC40" s="82"/>
      <c r="ND40" s="82"/>
      <c r="NE40" s="82"/>
      <c r="NF40" s="82"/>
      <c r="NG40" s="82"/>
      <c r="NH40" s="82"/>
      <c r="NI40" s="82"/>
      <c r="NJ40" s="82"/>
      <c r="NK40" s="82"/>
      <c r="NL40" s="82"/>
      <c r="NM40" s="82"/>
      <c r="NN40" s="82"/>
      <c r="NO40" s="82"/>
      <c r="NP40" s="82"/>
      <c r="NQ40" s="82"/>
      <c r="NR40" s="82"/>
      <c r="NS40" s="82"/>
      <c r="NT40" s="82"/>
      <c r="NU40" s="82"/>
      <c r="NV40" s="82"/>
      <c r="NW40" s="82"/>
      <c r="NX40" s="82"/>
      <c r="NY40" s="82"/>
      <c r="NZ40" s="82"/>
      <c r="OA40" s="82"/>
      <c r="OB40" s="82"/>
      <c r="OC40" s="82"/>
      <c r="OD40" s="82"/>
      <c r="OE40" s="82"/>
      <c r="OF40" s="82"/>
      <c r="OG40" s="82"/>
      <c r="OH40" s="82"/>
      <c r="OI40" s="82"/>
      <c r="OJ40" s="82"/>
      <c r="OK40" s="82"/>
      <c r="OL40" s="82"/>
      <c r="OM40" s="82"/>
      <c r="ON40" s="82"/>
      <c r="OO40" s="82"/>
      <c r="OP40" s="82"/>
      <c r="OQ40" s="82"/>
      <c r="OR40" s="82"/>
      <c r="OS40" s="82"/>
      <c r="OT40" s="82"/>
      <c r="OU40" s="82"/>
      <c r="OV40" s="82"/>
      <c r="OW40" s="82"/>
      <c r="OX40" s="82"/>
      <c r="OY40" s="82"/>
      <c r="OZ40" s="82"/>
      <c r="PA40" s="82"/>
      <c r="PB40" s="82"/>
      <c r="PC40" s="82"/>
      <c r="PD40" s="82"/>
      <c r="PE40" s="82"/>
      <c r="PF40" s="82"/>
      <c r="PG40" s="82"/>
      <c r="PH40" s="82"/>
      <c r="PI40" s="82"/>
      <c r="PJ40" s="82"/>
      <c r="PK40" s="82"/>
      <c r="PL40" s="82"/>
      <c r="PM40" s="82"/>
      <c r="PN40" s="82"/>
      <c r="PO40" s="82"/>
      <c r="PP40" s="82"/>
      <c r="PQ40" s="82"/>
      <c r="PR40" s="82"/>
      <c r="PS40" s="82"/>
      <c r="PT40" s="82"/>
      <c r="PU40" s="82"/>
      <c r="PV40" s="82"/>
      <c r="PW40" s="82"/>
      <c r="PX40" s="82"/>
      <c r="PY40" s="82"/>
      <c r="PZ40" s="82"/>
      <c r="QA40" s="82"/>
      <c r="QB40" s="82"/>
      <c r="QC40" s="82"/>
      <c r="QD40" s="82"/>
      <c r="QE40" s="82"/>
      <c r="QF40" s="82"/>
      <c r="QG40" s="82"/>
      <c r="QH40" s="82"/>
      <c r="QI40" s="82"/>
      <c r="QJ40" s="82"/>
      <c r="QK40" s="82"/>
      <c r="QL40" s="82"/>
      <c r="QM40" s="82"/>
      <c r="QN40" s="82"/>
      <c r="QO40" s="82"/>
      <c r="QP40" s="82"/>
      <c r="QQ40" s="82"/>
      <c r="QR40" s="82"/>
      <c r="QS40" s="82"/>
      <c r="QT40" s="82"/>
      <c r="QU40" s="82"/>
      <c r="QV40" s="82"/>
      <c r="QW40" s="82"/>
      <c r="QX40" s="82"/>
      <c r="QY40" s="82"/>
      <c r="QZ40" s="82"/>
      <c r="RA40" s="82"/>
      <c r="RB40" s="82"/>
      <c r="RC40" s="82"/>
      <c r="RD40" s="82"/>
      <c r="RE40" s="82"/>
      <c r="RF40" s="82"/>
      <c r="RG40" s="82"/>
      <c r="RH40" s="82"/>
      <c r="RI40" s="82"/>
      <c r="RJ40" s="82"/>
      <c r="RK40" s="82"/>
      <c r="RL40" s="82"/>
      <c r="RM40" s="82"/>
      <c r="RN40" s="82"/>
      <c r="RO40" s="82"/>
      <c r="RP40" s="82"/>
      <c r="RQ40" s="82"/>
      <c r="RR40" s="82"/>
      <c r="RS40" s="82"/>
      <c r="RT40" s="82"/>
      <c r="RU40" s="82"/>
      <c r="RV40" s="82"/>
      <c r="RW40" s="82"/>
      <c r="RX40" s="82"/>
      <c r="RY40" s="82"/>
      <c r="RZ40" s="82"/>
      <c r="SA40" s="82"/>
      <c r="SB40" s="82"/>
      <c r="SC40" s="82"/>
      <c r="SD40" s="82"/>
      <c r="SE40" s="82"/>
      <c r="SF40" s="82"/>
      <c r="SG40" s="82"/>
      <c r="SH40" s="82"/>
      <c r="SI40" s="82"/>
      <c r="SJ40" s="82"/>
      <c r="SK40" s="82"/>
      <c r="SL40" s="82"/>
      <c r="SM40" s="82"/>
      <c r="SN40" s="82"/>
      <c r="SO40" s="82"/>
      <c r="SP40" s="82"/>
      <c r="SQ40" s="82"/>
      <c r="SR40" s="82"/>
      <c r="SS40" s="82"/>
      <c r="ST40" s="82"/>
      <c r="SU40" s="82"/>
      <c r="SV40" s="82"/>
      <c r="SW40" s="82"/>
      <c r="SX40" s="82"/>
      <c r="SY40" s="82"/>
      <c r="SZ40" s="82"/>
      <c r="TA40" s="82"/>
      <c r="TB40" s="82"/>
      <c r="TC40" s="82"/>
      <c r="TD40" s="82"/>
      <c r="TE40" s="82"/>
      <c r="TF40" s="82"/>
      <c r="TG40" s="82"/>
      <c r="TH40" s="82"/>
      <c r="TI40" s="82"/>
      <c r="TJ40" s="82"/>
      <c r="TK40" s="82"/>
      <c r="TL40" s="82"/>
      <c r="TM40" s="82"/>
      <c r="TN40" s="82"/>
      <c r="TO40" s="82"/>
      <c r="TP40" s="82"/>
      <c r="TQ40" s="82"/>
      <c r="TR40" s="82"/>
      <c r="TS40" s="82"/>
      <c r="TT40" s="82"/>
      <c r="TU40" s="82"/>
      <c r="TV40" s="82"/>
      <c r="TW40" s="82"/>
      <c r="TX40" s="82"/>
      <c r="TY40" s="82"/>
      <c r="TZ40" s="82"/>
      <c r="UA40" s="82"/>
      <c r="UB40" s="82"/>
      <c r="UC40" s="82"/>
      <c r="UD40" s="82"/>
      <c r="UE40" s="82"/>
      <c r="UF40" s="82"/>
      <c r="UG40" s="82"/>
      <c r="UH40" s="82"/>
      <c r="UI40" s="82"/>
      <c r="UJ40" s="82"/>
      <c r="UK40" s="82"/>
      <c r="UL40" s="82"/>
      <c r="UM40" s="82"/>
      <c r="UN40" s="82"/>
      <c r="UO40" s="82"/>
      <c r="UP40" s="82"/>
      <c r="UQ40" s="82"/>
      <c r="UR40" s="82"/>
      <c r="US40" s="82"/>
      <c r="UT40" s="82"/>
      <c r="UU40" s="82"/>
      <c r="UV40" s="82"/>
      <c r="UW40" s="82"/>
      <c r="UX40" s="82"/>
      <c r="UY40" s="82"/>
      <c r="UZ40" s="82"/>
      <c r="VA40" s="82"/>
      <c r="VB40" s="82"/>
      <c r="VC40" s="82"/>
      <c r="VD40" s="82"/>
      <c r="VE40" s="82"/>
      <c r="VF40" s="82"/>
      <c r="VG40" s="82"/>
      <c r="VH40" s="82"/>
      <c r="VI40" s="82"/>
      <c r="VJ40" s="82"/>
      <c r="VK40" s="82"/>
      <c r="VL40" s="82"/>
      <c r="VM40" s="82"/>
      <c r="VN40" s="82"/>
      <c r="VO40" s="82"/>
      <c r="VP40" s="82"/>
      <c r="VQ40" s="82"/>
      <c r="VR40" s="82"/>
      <c r="VS40" s="82"/>
      <c r="VT40" s="82"/>
      <c r="VU40" s="82"/>
      <c r="VV40" s="82"/>
      <c r="VW40" s="82"/>
      <c r="VX40" s="82"/>
      <c r="VY40" s="82"/>
      <c r="VZ40" s="82"/>
      <c r="WA40" s="82"/>
      <c r="WB40" s="82"/>
      <c r="WC40" s="82"/>
      <c r="WD40" s="82"/>
      <c r="WE40" s="82"/>
      <c r="WF40" s="82"/>
      <c r="WG40" s="82"/>
      <c r="WH40" s="82"/>
      <c r="WI40" s="82"/>
      <c r="WJ40" s="82"/>
      <c r="WK40" s="82"/>
      <c r="WL40" s="82"/>
      <c r="WM40" s="82"/>
      <c r="WN40" s="82"/>
      <c r="WO40" s="82"/>
      <c r="WP40" s="82"/>
      <c r="WQ40" s="82"/>
      <c r="WR40" s="82"/>
      <c r="WS40" s="82"/>
      <c r="WT40" s="82"/>
      <c r="WU40" s="82"/>
      <c r="WV40" s="82"/>
      <c r="WW40" s="82"/>
      <c r="WX40" s="82"/>
      <c r="WY40" s="82"/>
      <c r="WZ40" s="82"/>
      <c r="XA40" s="82"/>
      <c r="XB40" s="82"/>
      <c r="XC40" s="82"/>
      <c r="XD40" s="82"/>
      <c r="XE40" s="82"/>
      <c r="XF40" s="82"/>
      <c r="XG40" s="82"/>
      <c r="XH40" s="82"/>
      <c r="XI40" s="82"/>
      <c r="XJ40" s="82"/>
      <c r="XK40" s="82"/>
      <c r="XL40" s="82"/>
      <c r="XM40" s="82"/>
      <c r="XN40" s="82"/>
      <c r="XO40" s="82"/>
      <c r="XP40" s="82"/>
      <c r="XQ40" s="82"/>
      <c r="XR40" s="82"/>
      <c r="XS40" s="82"/>
      <c r="XT40" s="82"/>
      <c r="XU40" s="82"/>
      <c r="XV40" s="82"/>
      <c r="XW40" s="82"/>
      <c r="XX40" s="82"/>
      <c r="XY40" s="82"/>
      <c r="XZ40" s="82"/>
      <c r="YA40" s="82"/>
      <c r="YB40" s="82"/>
      <c r="YC40" s="82"/>
      <c r="YD40" s="82"/>
      <c r="YE40" s="82"/>
      <c r="YF40" s="82"/>
      <c r="YG40" s="82"/>
      <c r="YH40" s="82"/>
      <c r="YI40" s="82"/>
      <c r="YJ40" s="82"/>
      <c r="YK40" s="82"/>
      <c r="YL40" s="82"/>
      <c r="YM40" s="82"/>
      <c r="YN40" s="82"/>
      <c r="YO40" s="82"/>
      <c r="YP40" s="82"/>
      <c r="YQ40" s="82"/>
      <c r="YR40" s="82"/>
      <c r="YS40" s="82"/>
      <c r="YT40" s="82"/>
      <c r="YU40" s="82"/>
      <c r="YV40" s="82"/>
      <c r="YW40" s="82"/>
      <c r="YX40" s="82"/>
      <c r="YY40" s="82"/>
      <c r="YZ40" s="82"/>
      <c r="ZA40" s="82"/>
      <c r="ZB40" s="82"/>
      <c r="ZC40" s="82"/>
      <c r="ZD40" s="82"/>
      <c r="ZE40" s="82"/>
      <c r="ZF40" s="82"/>
      <c r="ZG40" s="82"/>
      <c r="ZH40" s="82"/>
      <c r="ZI40" s="82"/>
      <c r="ZJ40" s="82"/>
      <c r="ZK40" s="82"/>
      <c r="ZL40" s="82"/>
      <c r="ZM40" s="82"/>
      <c r="ZN40" s="82"/>
      <c r="ZO40" s="82"/>
      <c r="ZP40" s="82"/>
      <c r="ZQ40" s="82"/>
      <c r="ZR40" s="82"/>
      <c r="ZS40" s="82"/>
      <c r="ZT40" s="82"/>
      <c r="ZU40" s="82"/>
      <c r="ZV40" s="82"/>
      <c r="ZW40" s="82"/>
    </row>
    <row r="41" spans="1:699" ht="15.75" customHeight="1" thickBot="1" x14ac:dyDescent="0.25">
      <c r="A41" s="75"/>
      <c r="B41" s="76"/>
      <c r="C41" s="257"/>
      <c r="D41" s="258"/>
      <c r="E41" s="258"/>
      <c r="F41" s="258"/>
      <c r="G41" s="259"/>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row>
    <row r="42" spans="1:699" ht="15.75" customHeight="1" x14ac:dyDescent="0.2">
      <c r="A42" s="26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row>
    <row r="43" spans="1:699" ht="15.75" customHeight="1" x14ac:dyDescent="0.2">
      <c r="A43" s="260"/>
      <c r="B43" s="200" t="s">
        <v>19</v>
      </c>
      <c r="C43" s="200" t="s">
        <v>232</v>
      </c>
      <c r="D43" s="202" t="s">
        <v>233</v>
      </c>
      <c r="E43" s="200" t="s">
        <v>234</v>
      </c>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row>
    <row r="44" spans="1:699" ht="15.75" customHeight="1" x14ac:dyDescent="0.2">
      <c r="A44" s="26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row>
    <row r="45" spans="1:699" ht="15.75" customHeight="1" x14ac:dyDescent="0.2">
      <c r="A45" s="260"/>
      <c r="B45" s="200"/>
      <c r="C45" s="200" t="s">
        <v>235</v>
      </c>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row>
    <row r="46" spans="1:699" ht="15.75" customHeight="1" x14ac:dyDescent="0.2">
      <c r="A46" s="26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row>
    <row r="47" spans="1:699" ht="15.75" customHeight="1" x14ac:dyDescent="0.2">
      <c r="A47" s="260"/>
      <c r="B47" s="200"/>
      <c r="C47" s="264" t="s">
        <v>61</v>
      </c>
      <c r="D47" s="264">
        <v>12</v>
      </c>
      <c r="E47" s="264">
        <v>24</v>
      </c>
      <c r="F47" s="264">
        <v>36</v>
      </c>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row>
    <row r="48" spans="1:699" ht="15.75" customHeight="1" x14ac:dyDescent="0.2">
      <c r="A48" s="260"/>
      <c r="B48" s="200"/>
      <c r="C48" s="264">
        <v>2015</v>
      </c>
      <c r="D48" s="222">
        <f>C16</f>
        <v>1000000</v>
      </c>
      <c r="E48" s="222">
        <f t="shared" ref="E48:F48" si="0">D16</f>
        <v>1500000</v>
      </c>
      <c r="F48" s="222">
        <f t="shared" si="0"/>
        <v>1724999.9999999998</v>
      </c>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row>
    <row r="49" spans="1:52" ht="15.75" customHeight="1" x14ac:dyDescent="0.2">
      <c r="A49" s="260"/>
      <c r="B49" s="200"/>
      <c r="C49" s="264">
        <v>2016</v>
      </c>
      <c r="D49" s="222">
        <f t="shared" ref="D49:E50" si="1">C17</f>
        <v>1100000</v>
      </c>
      <c r="E49" s="222">
        <f t="shared" si="1"/>
        <v>1650000</v>
      </c>
      <c r="F49" s="222"/>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row>
    <row r="50" spans="1:52" ht="15.75" customHeight="1" x14ac:dyDescent="0.2">
      <c r="A50" s="260"/>
      <c r="B50" s="200"/>
      <c r="C50" s="264">
        <v>2017</v>
      </c>
      <c r="D50" s="222">
        <f t="shared" si="1"/>
        <v>900000</v>
      </c>
      <c r="E50" s="222"/>
      <c r="F50" s="222"/>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row>
    <row r="51" spans="1:52" ht="15.75" customHeight="1" x14ac:dyDescent="0.2">
      <c r="A51" s="260"/>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row>
    <row r="52" spans="1:52" ht="15.75" customHeight="1" x14ac:dyDescent="0.2">
      <c r="A52" s="260"/>
      <c r="B52" s="200"/>
      <c r="C52" s="200" t="s">
        <v>236</v>
      </c>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row>
    <row r="53" spans="1:52" ht="15.75" customHeight="1" x14ac:dyDescent="0.2">
      <c r="A53" s="26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row>
    <row r="54" spans="1:52" ht="15.75" customHeight="1" x14ac:dyDescent="0.2">
      <c r="A54" s="260"/>
      <c r="B54" s="200"/>
      <c r="C54" s="264" t="s">
        <v>61</v>
      </c>
      <c r="D54" s="264">
        <v>12</v>
      </c>
      <c r="E54" s="264">
        <v>24</v>
      </c>
      <c r="F54" s="264">
        <v>36</v>
      </c>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row>
    <row r="55" spans="1:52" ht="15.75" customHeight="1" x14ac:dyDescent="0.2">
      <c r="A55" s="260"/>
      <c r="B55" s="200"/>
      <c r="C55" s="265">
        <v>2015</v>
      </c>
      <c r="D55" s="266">
        <f>E48/D48</f>
        <v>1.5</v>
      </c>
      <c r="E55" s="266">
        <f t="shared" ref="E55" si="2">F48/E48</f>
        <v>1.1499999999999999</v>
      </c>
      <c r="F55" s="266">
        <v>1</v>
      </c>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row>
    <row r="56" spans="1:52" ht="15.75" customHeight="1" x14ac:dyDescent="0.2">
      <c r="A56" s="260"/>
      <c r="B56" s="200"/>
      <c r="C56" s="267">
        <v>2016</v>
      </c>
      <c r="D56" s="268">
        <f t="shared" ref="D56" si="3">E49/D49</f>
        <v>1.5</v>
      </c>
      <c r="E56" s="268"/>
      <c r="F56" s="268"/>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row>
    <row r="57" spans="1:52" ht="15.75" customHeight="1" x14ac:dyDescent="0.2">
      <c r="A57" s="260"/>
      <c r="B57" s="200"/>
      <c r="C57" s="264" t="s">
        <v>237</v>
      </c>
      <c r="D57" s="269">
        <f>AVERAGE(D55:D56)</f>
        <v>1.5</v>
      </c>
      <c r="E57" s="269">
        <f t="shared" ref="E57:F57" si="4">AVERAGE(E55:E56)</f>
        <v>1.1499999999999999</v>
      </c>
      <c r="F57" s="269">
        <f t="shared" si="4"/>
        <v>1</v>
      </c>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row>
    <row r="58" spans="1:52" ht="15.75" customHeight="1" x14ac:dyDescent="0.2">
      <c r="A58" s="260"/>
      <c r="B58" s="200"/>
      <c r="C58" s="264" t="s">
        <v>238</v>
      </c>
      <c r="D58" s="200">
        <f>PRODUCT(D57:F57)</f>
        <v>1.7249999999999999</v>
      </c>
      <c r="E58" s="200">
        <f t="shared" ref="E58:F58" si="5">PRODUCT(E57:G57)</f>
        <v>1.1499999999999999</v>
      </c>
      <c r="F58" s="200">
        <f t="shared" si="5"/>
        <v>1</v>
      </c>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row>
    <row r="59" spans="1:52" ht="15.75" customHeight="1" x14ac:dyDescent="0.2">
      <c r="A59" s="26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row>
    <row r="60" spans="1:52" ht="15.75" customHeight="1" x14ac:dyDescent="0.2">
      <c r="A60" s="260"/>
      <c r="B60" s="200"/>
      <c r="C60" s="200" t="s">
        <v>239</v>
      </c>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row>
    <row r="61" spans="1:52" ht="15.75" customHeight="1" x14ac:dyDescent="0.2">
      <c r="A61" s="26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row>
    <row r="62" spans="1:52" ht="15.75" customHeight="1" x14ac:dyDescent="0.2">
      <c r="A62" s="260"/>
      <c r="B62" s="200"/>
      <c r="C62" s="200" t="s">
        <v>61</v>
      </c>
      <c r="D62" s="200" t="s">
        <v>193</v>
      </c>
      <c r="E62" s="200" t="s">
        <v>240</v>
      </c>
      <c r="F62" s="200" t="s">
        <v>237</v>
      </c>
      <c r="G62" s="200" t="s">
        <v>241</v>
      </c>
      <c r="H62" s="200" t="s">
        <v>242</v>
      </c>
      <c r="I62" s="200" t="s">
        <v>243</v>
      </c>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row>
    <row r="63" spans="1:52" ht="15.75" customHeight="1" x14ac:dyDescent="0.2">
      <c r="A63" s="260"/>
      <c r="B63" s="200"/>
      <c r="C63" s="264">
        <v>2015</v>
      </c>
      <c r="D63" s="223">
        <f>C12</f>
        <v>2500000</v>
      </c>
      <c r="E63" s="222">
        <f>E16</f>
        <v>1724999.9999999998</v>
      </c>
      <c r="F63" s="200">
        <f>F58</f>
        <v>1</v>
      </c>
      <c r="G63" s="200">
        <f>1-1/F63</f>
        <v>0</v>
      </c>
      <c r="H63" s="200">
        <v>0.65</v>
      </c>
      <c r="I63" s="223">
        <f>E63+D63*H63*G63</f>
        <v>1724999.9999999998</v>
      </c>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row>
    <row r="64" spans="1:52" ht="15.75" customHeight="1" x14ac:dyDescent="0.2">
      <c r="A64" s="260"/>
      <c r="B64" s="200"/>
      <c r="C64" s="264">
        <v>2016</v>
      </c>
      <c r="D64" s="223">
        <f>D12</f>
        <v>3100000</v>
      </c>
      <c r="E64" s="222">
        <f>D17</f>
        <v>1650000</v>
      </c>
      <c r="F64" s="200">
        <f>E58</f>
        <v>1.1499999999999999</v>
      </c>
      <c r="G64" s="200">
        <f t="shared" ref="G64:G65" si="6">1-1/F64</f>
        <v>0.13043478260869557</v>
      </c>
      <c r="H64" s="200">
        <v>0.65</v>
      </c>
      <c r="I64" s="223">
        <f t="shared" ref="I64:I65" si="7">E64+D64*H64*G64</f>
        <v>1912826.0869565215</v>
      </c>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row>
    <row r="65" spans="1:52" ht="15.75" customHeight="1" x14ac:dyDescent="0.2">
      <c r="A65" s="260"/>
      <c r="B65" s="200"/>
      <c r="C65" s="264">
        <v>2017</v>
      </c>
      <c r="D65" s="223">
        <f>E12</f>
        <v>2100000</v>
      </c>
      <c r="E65" s="222">
        <f>C18</f>
        <v>900000</v>
      </c>
      <c r="F65" s="200">
        <f>D58</f>
        <v>1.7249999999999999</v>
      </c>
      <c r="G65" s="200">
        <f t="shared" si="6"/>
        <v>0.42028985507246375</v>
      </c>
      <c r="H65" s="200">
        <v>0.65</v>
      </c>
      <c r="I65" s="223">
        <f t="shared" si="7"/>
        <v>1473695.6521739131</v>
      </c>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row>
    <row r="66" spans="1:52" ht="15.75" customHeight="1" x14ac:dyDescent="0.2">
      <c r="A66" s="26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row>
    <row r="67" spans="1:52" ht="15.75" customHeight="1" x14ac:dyDescent="0.2">
      <c r="A67" s="260"/>
      <c r="B67" s="200" t="s">
        <v>21</v>
      </c>
      <c r="C67" s="200" t="s">
        <v>244</v>
      </c>
      <c r="D67" s="200"/>
      <c r="E67" s="200"/>
      <c r="F67" s="200"/>
      <c r="G67" s="27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row>
    <row r="68" spans="1:52" ht="15.75" customHeight="1" x14ac:dyDescent="0.2">
      <c r="A68" s="26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row>
    <row r="69" spans="1:52" ht="15.75" customHeight="1" x14ac:dyDescent="0.2">
      <c r="A69" s="260"/>
      <c r="B69" s="200"/>
      <c r="C69" s="200" t="s">
        <v>245</v>
      </c>
      <c r="D69" s="200"/>
      <c r="E69" s="200">
        <f>1.08*1.05</f>
        <v>1.1340000000000001</v>
      </c>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row>
    <row r="70" spans="1:52" ht="15.75" customHeight="1" x14ac:dyDescent="0.2">
      <c r="A70" s="26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row>
    <row r="71" spans="1:52" ht="15.75" customHeight="1" x14ac:dyDescent="0.2">
      <c r="A71" s="260"/>
      <c r="B71" s="200"/>
      <c r="C71" s="271" t="s">
        <v>246</v>
      </c>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row>
    <row r="72" spans="1:52" ht="15.75" customHeight="1" x14ac:dyDescent="0.2">
      <c r="A72" s="26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row>
    <row r="73" spans="1:52" ht="15.75" customHeight="1" x14ac:dyDescent="0.2">
      <c r="A73" s="260"/>
      <c r="B73" s="200"/>
      <c r="C73" s="200" t="s">
        <v>247</v>
      </c>
      <c r="D73" s="200" t="s">
        <v>248</v>
      </c>
      <c r="E73" s="200" t="s">
        <v>249</v>
      </c>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row>
    <row r="74" spans="1:52" ht="15.75" customHeight="1" x14ac:dyDescent="0.2">
      <c r="A74" s="260"/>
      <c r="B74" s="200"/>
      <c r="C74" s="200" t="s">
        <v>6</v>
      </c>
      <c r="D74" s="200">
        <v>1</v>
      </c>
      <c r="E74" s="200">
        <f>1-E75</f>
        <v>0.875</v>
      </c>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row>
    <row r="75" spans="1:52" ht="15.75" customHeight="1" x14ac:dyDescent="0.2">
      <c r="A75" s="260"/>
      <c r="B75" s="200"/>
      <c r="C75" s="200" t="s">
        <v>8</v>
      </c>
      <c r="D75" s="200">
        <v>1.08</v>
      </c>
      <c r="E75" s="200">
        <f>0.5^3</f>
        <v>0.125</v>
      </c>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row>
    <row r="76" spans="1:52" ht="15.75" customHeight="1" x14ac:dyDescent="0.2">
      <c r="A76" s="26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row>
    <row r="77" spans="1:52" ht="15.75" customHeight="1" x14ac:dyDescent="0.2">
      <c r="A77" s="260"/>
      <c r="B77" s="200"/>
      <c r="C77" s="200" t="s">
        <v>250</v>
      </c>
      <c r="D77" s="200">
        <f>1.08*1.05</f>
        <v>1.1340000000000001</v>
      </c>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row>
    <row r="78" spans="1:52" ht="15.75" customHeight="1" x14ac:dyDescent="0.2">
      <c r="A78" s="26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row>
    <row r="79" spans="1:52" ht="15.75" customHeight="1" x14ac:dyDescent="0.2">
      <c r="A79" s="260"/>
      <c r="B79" s="200"/>
      <c r="C79" s="200" t="s">
        <v>251</v>
      </c>
      <c r="D79" s="200">
        <f>D77/SUMPRODUCT(D74:D75,E74:E75)</f>
        <v>1.1227722772277229</v>
      </c>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row>
    <row r="80" spans="1:52" ht="15.75" customHeight="1" x14ac:dyDescent="0.2">
      <c r="A80" s="26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row>
    <row r="81" spans="1:699" ht="15.75" customHeight="1" x14ac:dyDescent="0.2">
      <c r="A81" s="260"/>
      <c r="B81" s="200"/>
      <c r="C81" s="271" t="s">
        <v>252</v>
      </c>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row>
    <row r="82" spans="1:699" ht="15.75" customHeight="1" x14ac:dyDescent="0.2">
      <c r="A82" s="26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row>
    <row r="83" spans="1:699" ht="15.75" customHeight="1" x14ac:dyDescent="0.2">
      <c r="A83" s="260"/>
      <c r="B83" s="200"/>
      <c r="C83" s="200" t="s">
        <v>247</v>
      </c>
      <c r="D83" s="200" t="s">
        <v>248</v>
      </c>
      <c r="E83" s="200" t="s">
        <v>249</v>
      </c>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row>
    <row r="84" spans="1:699" ht="15.75" customHeight="1" x14ac:dyDescent="0.2">
      <c r="A84" s="260"/>
      <c r="B84" s="200"/>
      <c r="C84" s="200" t="s">
        <v>11</v>
      </c>
      <c r="D84" s="200">
        <v>1</v>
      </c>
      <c r="E84" s="200">
        <f>0.5^3</f>
        <v>0.125</v>
      </c>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row>
    <row r="85" spans="1:699" ht="15.75" customHeight="1" x14ac:dyDescent="0.2">
      <c r="A85" s="260"/>
      <c r="B85" s="200"/>
      <c r="C85" s="200" t="s">
        <v>13</v>
      </c>
      <c r="D85" s="200">
        <v>1.08</v>
      </c>
      <c r="E85" s="200">
        <f>1-E84-E86</f>
        <v>0.75</v>
      </c>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row>
    <row r="86" spans="1:699" ht="15.75" customHeight="1" x14ac:dyDescent="0.2">
      <c r="A86" s="260"/>
      <c r="B86" s="200"/>
      <c r="C86" s="200" t="s">
        <v>15</v>
      </c>
      <c r="D86" s="200">
        <f>1.08*1.05</f>
        <v>1.1340000000000001</v>
      </c>
      <c r="E86" s="200">
        <f>0.5^3</f>
        <v>0.125</v>
      </c>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row>
    <row r="87" spans="1:699" ht="15.75" customHeight="1" x14ac:dyDescent="0.2">
      <c r="A87" s="26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row>
    <row r="88" spans="1:699" ht="15.75" customHeight="1" x14ac:dyDescent="0.2">
      <c r="A88" s="260"/>
      <c r="B88" s="200"/>
      <c r="C88" s="200" t="s">
        <v>250</v>
      </c>
      <c r="D88" s="200">
        <f>1.08*1.05</f>
        <v>1.1340000000000001</v>
      </c>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row>
    <row r="89" spans="1:699" s="272" customFormat="1" ht="14.25" x14ac:dyDescent="0.2">
      <c r="A89" s="26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c r="BA89" s="201"/>
      <c r="BB89" s="201"/>
      <c r="BC89" s="201"/>
      <c r="BD89" s="201"/>
      <c r="BE89" s="201"/>
      <c r="BF89" s="201"/>
      <c r="BG89" s="201"/>
      <c r="BH89" s="201"/>
      <c r="BI89" s="201"/>
      <c r="BJ89" s="201"/>
      <c r="BK89" s="201"/>
      <c r="BL89" s="201"/>
      <c r="BM89" s="201"/>
      <c r="BN89" s="201"/>
      <c r="BO89" s="201"/>
      <c r="BP89" s="201"/>
      <c r="BQ89" s="201"/>
      <c r="BR89" s="201"/>
      <c r="BS89" s="201"/>
      <c r="BT89" s="201"/>
      <c r="BU89" s="201"/>
      <c r="BV89" s="201"/>
      <c r="BW89" s="201"/>
      <c r="BX89" s="201"/>
      <c r="BY89" s="201"/>
      <c r="BZ89" s="201"/>
      <c r="CA89" s="201"/>
      <c r="CB89" s="201"/>
      <c r="CC89" s="201"/>
      <c r="CD89" s="201"/>
      <c r="CE89" s="201"/>
      <c r="CF89" s="201"/>
      <c r="CG89" s="201"/>
      <c r="CH89" s="201"/>
      <c r="CI89" s="201"/>
      <c r="CJ89" s="201"/>
      <c r="CK89" s="201"/>
      <c r="CL89" s="201"/>
      <c r="CM89" s="201"/>
      <c r="CN89" s="201"/>
      <c r="CO89" s="201"/>
      <c r="CP89" s="201"/>
      <c r="CQ89" s="201"/>
      <c r="CR89" s="201"/>
      <c r="CS89" s="201"/>
      <c r="CT89" s="201"/>
      <c r="CU89" s="201"/>
      <c r="CV89" s="201"/>
      <c r="CW89" s="201"/>
      <c r="CX89" s="201"/>
      <c r="CY89" s="201"/>
      <c r="CZ89" s="201"/>
      <c r="DA89" s="201"/>
      <c r="DB89" s="201"/>
      <c r="DC89" s="201"/>
      <c r="DD89" s="201"/>
      <c r="DE89" s="201"/>
      <c r="DF89" s="201"/>
      <c r="DG89" s="201"/>
      <c r="DH89" s="201"/>
      <c r="DI89" s="201"/>
      <c r="DJ89" s="201"/>
      <c r="DK89" s="201"/>
      <c r="DL89" s="201"/>
      <c r="DM89" s="201"/>
      <c r="DN89" s="201"/>
      <c r="DO89" s="201"/>
      <c r="DP89" s="201"/>
      <c r="DQ89" s="201"/>
      <c r="DR89" s="201"/>
      <c r="DS89" s="201"/>
      <c r="DT89" s="201"/>
      <c r="DU89" s="201"/>
      <c r="DV89" s="201"/>
      <c r="DW89" s="201"/>
      <c r="DX89" s="201"/>
      <c r="DY89" s="201"/>
      <c r="DZ89" s="201"/>
      <c r="EA89" s="201"/>
      <c r="EB89" s="201"/>
      <c r="EC89" s="201"/>
      <c r="ED89" s="201"/>
      <c r="EE89" s="201"/>
      <c r="EF89" s="201"/>
      <c r="EG89" s="201"/>
      <c r="EH89" s="201"/>
      <c r="EI89" s="201"/>
      <c r="EJ89" s="201"/>
      <c r="EK89" s="201"/>
      <c r="EL89" s="201"/>
      <c r="EM89" s="201"/>
      <c r="EN89" s="201"/>
      <c r="EO89" s="201"/>
      <c r="EP89" s="201"/>
      <c r="EQ89" s="201"/>
      <c r="ER89" s="201"/>
      <c r="ES89" s="201"/>
      <c r="ET89" s="201"/>
      <c r="EU89" s="201"/>
      <c r="EV89" s="201"/>
      <c r="EW89" s="201"/>
      <c r="EX89" s="201"/>
      <c r="EY89" s="201"/>
      <c r="EZ89" s="201"/>
      <c r="FA89" s="201"/>
      <c r="FB89" s="201"/>
      <c r="FC89" s="201"/>
      <c r="FD89" s="201"/>
      <c r="FE89" s="201"/>
      <c r="FF89" s="201"/>
      <c r="FG89" s="201"/>
      <c r="FH89" s="201"/>
      <c r="FI89" s="201"/>
      <c r="FJ89" s="201"/>
      <c r="FK89" s="201"/>
      <c r="FL89" s="201"/>
      <c r="FM89" s="201"/>
      <c r="FN89" s="201"/>
      <c r="FO89" s="201"/>
      <c r="FP89" s="201"/>
      <c r="FQ89" s="201"/>
      <c r="FR89" s="201"/>
      <c r="FS89" s="201"/>
      <c r="FT89" s="201"/>
      <c r="FU89" s="201"/>
      <c r="FV89" s="201"/>
      <c r="FW89" s="201"/>
      <c r="FX89" s="201"/>
      <c r="FY89" s="201"/>
      <c r="FZ89" s="201"/>
      <c r="GA89" s="201"/>
      <c r="GB89" s="201"/>
      <c r="GC89" s="201"/>
      <c r="GD89" s="201"/>
      <c r="GE89" s="201"/>
      <c r="GF89" s="201"/>
      <c r="GG89" s="201"/>
      <c r="GH89" s="201"/>
      <c r="GI89" s="201"/>
      <c r="GJ89" s="201"/>
      <c r="GK89" s="201"/>
      <c r="GL89" s="201"/>
      <c r="GM89" s="201"/>
      <c r="GN89" s="201"/>
      <c r="GO89" s="201"/>
      <c r="GP89" s="201"/>
      <c r="GQ89" s="201"/>
      <c r="GR89" s="201"/>
      <c r="GS89" s="201"/>
      <c r="GT89" s="201"/>
      <c r="GU89" s="201"/>
      <c r="GV89" s="201"/>
      <c r="GW89" s="201"/>
      <c r="GX89" s="201"/>
      <c r="GY89" s="201"/>
      <c r="GZ89" s="201"/>
      <c r="HA89" s="201"/>
      <c r="HB89" s="201"/>
      <c r="HC89" s="201"/>
      <c r="HD89" s="201"/>
      <c r="HE89" s="201"/>
      <c r="HF89" s="201"/>
      <c r="HG89" s="201"/>
      <c r="HH89" s="201"/>
      <c r="HI89" s="201"/>
      <c r="HJ89" s="201"/>
      <c r="HK89" s="201"/>
      <c r="HL89" s="201"/>
      <c r="HM89" s="201"/>
      <c r="HN89" s="201"/>
      <c r="HO89" s="201"/>
      <c r="HP89" s="201"/>
      <c r="HQ89" s="201"/>
      <c r="HR89" s="201"/>
      <c r="HS89" s="201"/>
      <c r="HT89" s="201"/>
      <c r="HU89" s="201"/>
      <c r="HV89" s="201"/>
      <c r="HW89" s="201"/>
      <c r="HX89" s="201"/>
      <c r="HY89" s="201"/>
      <c r="HZ89" s="201"/>
      <c r="IA89" s="201"/>
      <c r="IB89" s="201"/>
      <c r="IC89" s="201"/>
      <c r="ID89" s="201"/>
      <c r="IE89" s="201"/>
      <c r="IF89" s="201"/>
      <c r="IG89" s="201"/>
      <c r="IH89" s="201"/>
      <c r="II89" s="201"/>
      <c r="IJ89" s="201"/>
      <c r="IK89" s="201"/>
      <c r="IL89" s="201"/>
      <c r="IM89" s="201"/>
      <c r="IN89" s="201"/>
      <c r="IO89" s="201"/>
      <c r="IP89" s="201"/>
      <c r="IQ89" s="201"/>
      <c r="IR89" s="201"/>
      <c r="IS89" s="201"/>
      <c r="IT89" s="201"/>
      <c r="IU89" s="201"/>
      <c r="IV89" s="201"/>
      <c r="IW89" s="201"/>
      <c r="IX89" s="201"/>
      <c r="IY89" s="201"/>
      <c r="IZ89" s="201"/>
      <c r="JA89" s="201"/>
      <c r="JB89" s="201"/>
      <c r="JC89" s="201"/>
      <c r="JD89" s="201"/>
      <c r="JE89" s="201"/>
      <c r="JF89" s="201"/>
      <c r="JG89" s="201"/>
      <c r="JH89" s="201"/>
      <c r="JI89" s="201"/>
      <c r="JJ89" s="201"/>
      <c r="JK89" s="201"/>
      <c r="JL89" s="201"/>
      <c r="JM89" s="201"/>
      <c r="JN89" s="201"/>
      <c r="JO89" s="201"/>
      <c r="JP89" s="201"/>
      <c r="JQ89" s="201"/>
      <c r="JR89" s="201"/>
      <c r="JS89" s="201"/>
      <c r="JT89" s="201"/>
      <c r="JU89" s="201"/>
      <c r="JV89" s="201"/>
      <c r="JW89" s="201"/>
      <c r="JX89" s="201"/>
      <c r="JY89" s="201"/>
      <c r="JZ89" s="201"/>
      <c r="KA89" s="201"/>
      <c r="KB89" s="201"/>
      <c r="KC89" s="201"/>
      <c r="KD89" s="201"/>
      <c r="KE89" s="201"/>
      <c r="KF89" s="201"/>
      <c r="KG89" s="201"/>
      <c r="KH89" s="201"/>
      <c r="KI89" s="201"/>
      <c r="KJ89" s="201"/>
      <c r="KK89" s="201"/>
      <c r="KL89" s="201"/>
      <c r="KM89" s="201"/>
      <c r="KN89" s="201"/>
      <c r="KO89" s="201"/>
      <c r="KP89" s="201"/>
      <c r="KQ89" s="201"/>
      <c r="KR89" s="201"/>
      <c r="KS89" s="201"/>
      <c r="KT89" s="201"/>
      <c r="KU89" s="201"/>
      <c r="KV89" s="201"/>
      <c r="KW89" s="201"/>
      <c r="KX89" s="201"/>
      <c r="KY89" s="201"/>
      <c r="KZ89" s="201"/>
      <c r="LA89" s="201"/>
      <c r="LB89" s="201"/>
      <c r="LC89" s="201"/>
      <c r="LD89" s="201"/>
      <c r="LE89" s="201"/>
      <c r="LF89" s="201"/>
      <c r="LG89" s="201"/>
      <c r="LH89" s="201"/>
      <c r="LI89" s="201"/>
      <c r="LJ89" s="201"/>
      <c r="LK89" s="201"/>
      <c r="LL89" s="201"/>
      <c r="LM89" s="201"/>
      <c r="LN89" s="201"/>
      <c r="LO89" s="201"/>
      <c r="LP89" s="201"/>
      <c r="LQ89" s="201"/>
      <c r="LR89" s="201"/>
      <c r="LS89" s="201"/>
      <c r="LT89" s="201"/>
      <c r="LU89" s="201"/>
      <c r="LV89" s="201"/>
      <c r="LW89" s="201"/>
      <c r="LX89" s="201"/>
      <c r="LY89" s="201"/>
      <c r="LZ89" s="201"/>
      <c r="MA89" s="201"/>
      <c r="MB89" s="201"/>
      <c r="MC89" s="201"/>
      <c r="MD89" s="201"/>
      <c r="ME89" s="201"/>
      <c r="MF89" s="201"/>
      <c r="MG89" s="201"/>
      <c r="MH89" s="201"/>
      <c r="MI89" s="201"/>
      <c r="MJ89" s="201"/>
      <c r="MK89" s="201"/>
      <c r="ML89" s="201"/>
      <c r="MM89" s="201"/>
      <c r="MN89" s="201"/>
      <c r="MO89" s="201"/>
      <c r="MP89" s="201"/>
      <c r="MQ89" s="201"/>
      <c r="MR89" s="201"/>
      <c r="MS89" s="201"/>
      <c r="MT89" s="201"/>
      <c r="MU89" s="201"/>
      <c r="MV89" s="201"/>
      <c r="MW89" s="201"/>
      <c r="MX89" s="201"/>
      <c r="MY89" s="201"/>
      <c r="MZ89" s="201"/>
      <c r="NA89" s="201"/>
      <c r="NB89" s="201"/>
      <c r="NC89" s="201"/>
      <c r="ND89" s="201"/>
      <c r="NE89" s="201"/>
      <c r="NF89" s="201"/>
      <c r="NG89" s="201"/>
      <c r="NH89" s="201"/>
      <c r="NI89" s="201"/>
      <c r="NJ89" s="201"/>
      <c r="NK89" s="201"/>
      <c r="NL89" s="201"/>
      <c r="NM89" s="201"/>
      <c r="NN89" s="201"/>
      <c r="NO89" s="201"/>
      <c r="NP89" s="201"/>
      <c r="NQ89" s="201"/>
      <c r="NR89" s="201"/>
      <c r="NS89" s="201"/>
      <c r="NT89" s="201"/>
      <c r="NU89" s="201"/>
      <c r="NV89" s="201"/>
      <c r="NW89" s="201"/>
      <c r="NX89" s="201"/>
      <c r="NY89" s="201"/>
      <c r="NZ89" s="201"/>
      <c r="OA89" s="201"/>
      <c r="OB89" s="201"/>
      <c r="OC89" s="201"/>
      <c r="OD89" s="201"/>
      <c r="OE89" s="201"/>
      <c r="OF89" s="201"/>
      <c r="OG89" s="201"/>
      <c r="OH89" s="201"/>
      <c r="OI89" s="201"/>
      <c r="OJ89" s="201"/>
      <c r="OK89" s="201"/>
      <c r="OL89" s="201"/>
      <c r="OM89" s="201"/>
      <c r="ON89" s="201"/>
      <c r="OO89" s="201"/>
      <c r="OP89" s="201"/>
      <c r="OQ89" s="201"/>
      <c r="OR89" s="201"/>
      <c r="OS89" s="201"/>
      <c r="OT89" s="201"/>
      <c r="OU89" s="201"/>
      <c r="OV89" s="201"/>
      <c r="OW89" s="201"/>
      <c r="OX89" s="201"/>
      <c r="OY89" s="201"/>
      <c r="OZ89" s="201"/>
      <c r="PA89" s="201"/>
      <c r="PB89" s="201"/>
      <c r="PC89" s="201"/>
      <c r="PD89" s="201"/>
      <c r="PE89" s="201"/>
      <c r="PF89" s="201"/>
      <c r="PG89" s="201"/>
      <c r="PH89" s="201"/>
      <c r="PI89" s="201"/>
      <c r="PJ89" s="201"/>
      <c r="PK89" s="201"/>
      <c r="PL89" s="201"/>
      <c r="PM89" s="201"/>
      <c r="PN89" s="201"/>
      <c r="PO89" s="201"/>
      <c r="PP89" s="201"/>
      <c r="PQ89" s="201"/>
      <c r="PR89" s="201"/>
      <c r="PS89" s="201"/>
      <c r="PT89" s="201"/>
      <c r="PU89" s="201"/>
      <c r="PV89" s="201"/>
      <c r="PW89" s="201"/>
      <c r="PX89" s="201"/>
      <c r="PY89" s="201"/>
      <c r="PZ89" s="201"/>
      <c r="QA89" s="201"/>
      <c r="QB89" s="201"/>
      <c r="QC89" s="201"/>
      <c r="QD89" s="201"/>
      <c r="QE89" s="201"/>
      <c r="QF89" s="201"/>
      <c r="QG89" s="201"/>
      <c r="QH89" s="201"/>
      <c r="QI89" s="201"/>
      <c r="QJ89" s="201"/>
      <c r="QK89" s="201"/>
      <c r="QL89" s="201"/>
      <c r="QM89" s="201"/>
      <c r="QN89" s="201"/>
      <c r="QO89" s="201"/>
      <c r="QP89" s="201"/>
      <c r="QQ89" s="201"/>
      <c r="QR89" s="201"/>
      <c r="QS89" s="201"/>
      <c r="QT89" s="201"/>
      <c r="QU89" s="201"/>
      <c r="QV89" s="201"/>
      <c r="QW89" s="201"/>
      <c r="QX89" s="201"/>
      <c r="QY89" s="201"/>
      <c r="QZ89" s="201"/>
      <c r="RA89" s="201"/>
      <c r="RB89" s="201"/>
      <c r="RC89" s="201"/>
      <c r="RD89" s="201"/>
      <c r="RE89" s="201"/>
      <c r="RF89" s="201"/>
      <c r="RG89" s="201"/>
      <c r="RH89" s="201"/>
      <c r="RI89" s="201"/>
      <c r="RJ89" s="201"/>
      <c r="RK89" s="201"/>
      <c r="RL89" s="201"/>
      <c r="RM89" s="201"/>
      <c r="RN89" s="201"/>
      <c r="RO89" s="201"/>
      <c r="RP89" s="201"/>
      <c r="RQ89" s="201"/>
      <c r="RR89" s="201"/>
      <c r="RS89" s="201"/>
      <c r="RT89" s="201"/>
      <c r="RU89" s="201"/>
      <c r="RV89" s="201"/>
      <c r="RW89" s="201"/>
      <c r="RX89" s="201"/>
      <c r="RY89" s="201"/>
      <c r="RZ89" s="201"/>
      <c r="SA89" s="201"/>
      <c r="SB89" s="201"/>
      <c r="SC89" s="201"/>
      <c r="SD89" s="201"/>
      <c r="SE89" s="201"/>
      <c r="SF89" s="201"/>
      <c r="SG89" s="201"/>
      <c r="SH89" s="201"/>
      <c r="SI89" s="201"/>
      <c r="SJ89" s="201"/>
      <c r="SK89" s="201"/>
      <c r="SL89" s="201"/>
      <c r="SM89" s="201"/>
      <c r="SN89" s="201"/>
      <c r="SO89" s="201"/>
      <c r="SP89" s="201"/>
      <c r="SQ89" s="201"/>
      <c r="SR89" s="201"/>
      <c r="SS89" s="201"/>
      <c r="ST89" s="201"/>
      <c r="SU89" s="201"/>
      <c r="SV89" s="201"/>
      <c r="SW89" s="201"/>
      <c r="SX89" s="201"/>
      <c r="SY89" s="201"/>
      <c r="SZ89" s="201"/>
      <c r="TA89" s="201"/>
      <c r="TB89" s="201"/>
      <c r="TC89" s="201"/>
      <c r="TD89" s="201"/>
      <c r="TE89" s="201"/>
      <c r="TF89" s="201"/>
      <c r="TG89" s="201"/>
      <c r="TH89" s="201"/>
      <c r="TI89" s="201"/>
      <c r="TJ89" s="201"/>
      <c r="TK89" s="201"/>
      <c r="TL89" s="201"/>
      <c r="TM89" s="201"/>
      <c r="TN89" s="201"/>
      <c r="TO89" s="201"/>
      <c r="TP89" s="201"/>
      <c r="TQ89" s="201"/>
      <c r="TR89" s="201"/>
      <c r="TS89" s="201"/>
      <c r="TT89" s="201"/>
      <c r="TU89" s="201"/>
      <c r="TV89" s="201"/>
      <c r="TW89" s="201"/>
      <c r="TX89" s="201"/>
      <c r="TY89" s="201"/>
      <c r="TZ89" s="201"/>
      <c r="UA89" s="201"/>
      <c r="UB89" s="201"/>
      <c r="UC89" s="201"/>
      <c r="UD89" s="201"/>
      <c r="UE89" s="201"/>
      <c r="UF89" s="201"/>
      <c r="UG89" s="201"/>
      <c r="UH89" s="201"/>
      <c r="UI89" s="201"/>
      <c r="UJ89" s="201"/>
      <c r="UK89" s="201"/>
      <c r="UL89" s="201"/>
      <c r="UM89" s="201"/>
      <c r="UN89" s="201"/>
      <c r="UO89" s="201"/>
      <c r="UP89" s="201"/>
      <c r="UQ89" s="201"/>
      <c r="UR89" s="201"/>
      <c r="US89" s="201"/>
      <c r="UT89" s="201"/>
      <c r="UU89" s="201"/>
      <c r="UV89" s="201"/>
      <c r="UW89" s="201"/>
      <c r="UX89" s="201"/>
      <c r="UY89" s="201"/>
      <c r="UZ89" s="201"/>
      <c r="VA89" s="201"/>
      <c r="VB89" s="201"/>
      <c r="VC89" s="201"/>
      <c r="VD89" s="201"/>
      <c r="VE89" s="201"/>
      <c r="VF89" s="201"/>
      <c r="VG89" s="201"/>
      <c r="VH89" s="201"/>
      <c r="VI89" s="201"/>
      <c r="VJ89" s="201"/>
      <c r="VK89" s="201"/>
      <c r="VL89" s="201"/>
      <c r="VM89" s="201"/>
      <c r="VN89" s="201"/>
      <c r="VO89" s="201"/>
      <c r="VP89" s="201"/>
      <c r="VQ89" s="201"/>
      <c r="VR89" s="201"/>
      <c r="VS89" s="201"/>
      <c r="VT89" s="201"/>
      <c r="VU89" s="201"/>
      <c r="VV89" s="201"/>
      <c r="VW89" s="201"/>
      <c r="VX89" s="201"/>
      <c r="VY89" s="201"/>
      <c r="VZ89" s="201"/>
      <c r="WA89" s="201"/>
      <c r="WB89" s="201"/>
      <c r="WC89" s="201"/>
      <c r="WD89" s="201"/>
      <c r="WE89" s="201"/>
      <c r="WF89" s="201"/>
      <c r="WG89" s="201"/>
      <c r="WH89" s="201"/>
      <c r="WI89" s="201"/>
      <c r="WJ89" s="201"/>
      <c r="WK89" s="201"/>
      <c r="WL89" s="201"/>
      <c r="WM89" s="201"/>
      <c r="WN89" s="201"/>
      <c r="WO89" s="201"/>
      <c r="WP89" s="201"/>
      <c r="WQ89" s="201"/>
      <c r="WR89" s="201"/>
      <c r="WS89" s="201"/>
      <c r="WT89" s="201"/>
      <c r="WU89" s="201"/>
      <c r="WV89" s="201"/>
      <c r="WW89" s="201"/>
      <c r="WX89" s="201"/>
      <c r="WY89" s="201"/>
      <c r="WZ89" s="201"/>
      <c r="XA89" s="201"/>
      <c r="XB89" s="201"/>
      <c r="XC89" s="201"/>
      <c r="XD89" s="201"/>
      <c r="XE89" s="201"/>
      <c r="XF89" s="201"/>
      <c r="XG89" s="201"/>
      <c r="XH89" s="201"/>
      <c r="XI89" s="201"/>
      <c r="XJ89" s="201"/>
      <c r="XK89" s="201"/>
      <c r="XL89" s="201"/>
      <c r="XM89" s="201"/>
      <c r="XN89" s="201"/>
      <c r="XO89" s="201"/>
      <c r="XP89" s="201"/>
      <c r="XQ89" s="201"/>
      <c r="XR89" s="201"/>
      <c r="XS89" s="201"/>
      <c r="XT89" s="201"/>
      <c r="XU89" s="201"/>
      <c r="XV89" s="201"/>
      <c r="XW89" s="201"/>
      <c r="XX89" s="201"/>
      <c r="XY89" s="201"/>
      <c r="XZ89" s="201"/>
      <c r="YA89" s="201"/>
      <c r="YB89" s="201"/>
      <c r="YC89" s="201"/>
      <c r="YD89" s="201"/>
      <c r="YE89" s="201"/>
      <c r="YF89" s="201"/>
      <c r="YG89" s="201"/>
      <c r="YH89" s="201"/>
      <c r="YI89" s="201"/>
      <c r="YJ89" s="201"/>
      <c r="YK89" s="201"/>
      <c r="YL89" s="201"/>
      <c r="YM89" s="201"/>
      <c r="YN89" s="201"/>
      <c r="YO89" s="201"/>
      <c r="YP89" s="201"/>
      <c r="YQ89" s="201"/>
      <c r="YR89" s="201"/>
      <c r="YS89" s="201"/>
      <c r="YT89" s="201"/>
      <c r="YU89" s="201"/>
      <c r="YV89" s="201"/>
      <c r="YW89" s="201"/>
      <c r="YX89" s="201"/>
      <c r="YY89" s="201"/>
      <c r="YZ89" s="201"/>
      <c r="ZA89" s="201"/>
      <c r="ZB89" s="201"/>
      <c r="ZC89" s="201"/>
      <c r="ZD89" s="201"/>
      <c r="ZE89" s="201"/>
      <c r="ZF89" s="201"/>
      <c r="ZG89" s="201"/>
      <c r="ZH89" s="201"/>
      <c r="ZI89" s="201"/>
      <c r="ZJ89" s="201"/>
      <c r="ZK89" s="201"/>
      <c r="ZL89" s="201"/>
      <c r="ZM89" s="201"/>
      <c r="ZN89" s="201"/>
      <c r="ZO89" s="201"/>
      <c r="ZP89" s="201"/>
      <c r="ZQ89" s="201"/>
      <c r="ZR89" s="201"/>
      <c r="ZS89" s="201"/>
      <c r="ZT89" s="201"/>
      <c r="ZU89" s="201"/>
      <c r="ZV89" s="201"/>
      <c r="ZW89" s="201"/>
    </row>
    <row r="90" spans="1:699" ht="15.75" customHeight="1" x14ac:dyDescent="0.2">
      <c r="A90" s="260"/>
      <c r="B90" s="200"/>
      <c r="C90" s="200" t="s">
        <v>253</v>
      </c>
      <c r="D90" s="200">
        <f>D88/SUMPRODUCT(D84:D86,E84:E86)</f>
        <v>1.053169259345252</v>
      </c>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row>
    <row r="91" spans="1:699" ht="15.75" customHeight="1" x14ac:dyDescent="0.2">
      <c r="A91" s="26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row>
    <row r="92" spans="1:699" ht="15.75" customHeight="1" x14ac:dyDescent="0.2">
      <c r="A92" s="260"/>
      <c r="B92" s="200"/>
      <c r="C92" s="200" t="s">
        <v>254</v>
      </c>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row>
    <row r="93" spans="1:699" ht="15.75" customHeight="1" x14ac:dyDescent="0.2">
      <c r="A93" s="26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row>
    <row r="94" spans="1:699" ht="15.75" customHeight="1" x14ac:dyDescent="0.2">
      <c r="A94" s="273"/>
      <c r="B94" s="274"/>
      <c r="C94" s="274" t="s">
        <v>61</v>
      </c>
      <c r="D94" s="274" t="s">
        <v>193</v>
      </c>
      <c r="E94" s="274" t="s">
        <v>255</v>
      </c>
      <c r="F94" s="274" t="s">
        <v>256</v>
      </c>
      <c r="G94" s="274" t="s">
        <v>257</v>
      </c>
      <c r="H94" s="274" t="s">
        <v>258</v>
      </c>
      <c r="I94" s="274" t="s">
        <v>259</v>
      </c>
      <c r="J94" s="274" t="s">
        <v>260</v>
      </c>
      <c r="K94" s="274" t="s">
        <v>261</v>
      </c>
      <c r="L94" s="274" t="s">
        <v>262</v>
      </c>
      <c r="M94" s="274" t="s">
        <v>107</v>
      </c>
      <c r="N94" s="274"/>
      <c r="O94" s="274"/>
      <c r="P94" s="274"/>
      <c r="Q94" s="274"/>
      <c r="R94" s="274"/>
      <c r="S94" s="274"/>
      <c r="T94" s="274"/>
      <c r="U94" s="274"/>
      <c r="V94" s="274"/>
      <c r="W94" s="274"/>
      <c r="X94" s="274"/>
      <c r="Y94" s="274"/>
      <c r="Z94" s="274"/>
      <c r="AA94" s="274"/>
      <c r="AB94" s="274"/>
      <c r="AC94" s="274"/>
      <c r="AD94" s="274"/>
      <c r="AE94" s="274"/>
      <c r="AF94" s="274"/>
      <c r="AG94" s="274"/>
      <c r="AH94" s="274"/>
      <c r="AI94" s="274"/>
      <c r="AJ94" s="274"/>
      <c r="AK94" s="274"/>
      <c r="AL94" s="274"/>
      <c r="AM94" s="274"/>
      <c r="AN94" s="274"/>
      <c r="AO94" s="274"/>
      <c r="AP94" s="274"/>
      <c r="AQ94" s="274"/>
      <c r="AR94" s="274"/>
      <c r="AS94" s="274"/>
      <c r="AT94" s="274"/>
      <c r="AU94" s="274"/>
      <c r="AV94" s="274"/>
      <c r="AW94" s="274"/>
      <c r="AX94" s="274"/>
      <c r="AY94" s="274"/>
      <c r="AZ94" s="274"/>
      <c r="BA94" s="272"/>
      <c r="BB94" s="272"/>
      <c r="BC94" s="272"/>
      <c r="BD94" s="272"/>
      <c r="BE94" s="272"/>
      <c r="BF94" s="272"/>
      <c r="BG94" s="272"/>
      <c r="BH94" s="272"/>
      <c r="BI94" s="272"/>
      <c r="BJ94" s="272"/>
      <c r="BK94" s="272"/>
      <c r="BL94" s="272"/>
      <c r="BM94" s="272"/>
      <c r="BN94" s="272"/>
      <c r="BO94" s="272"/>
      <c r="BP94" s="272"/>
      <c r="BQ94" s="272"/>
      <c r="BR94" s="272"/>
      <c r="BS94" s="272"/>
      <c r="BT94" s="272"/>
      <c r="BU94" s="272"/>
      <c r="BV94" s="272"/>
      <c r="BW94" s="272"/>
      <c r="BX94" s="272"/>
      <c r="BY94" s="272"/>
      <c r="BZ94" s="272"/>
      <c r="CA94" s="272"/>
      <c r="CB94" s="272"/>
      <c r="CC94" s="272"/>
      <c r="CD94" s="272"/>
      <c r="CE94" s="272"/>
      <c r="CF94" s="272"/>
      <c r="CG94" s="272"/>
      <c r="CH94" s="272"/>
      <c r="CI94" s="272"/>
      <c r="CJ94" s="272"/>
      <c r="CK94" s="272"/>
      <c r="CL94" s="272"/>
      <c r="CM94" s="272"/>
      <c r="CN94" s="272"/>
      <c r="CO94" s="272"/>
      <c r="CP94" s="272"/>
      <c r="CQ94" s="272"/>
      <c r="CR94" s="272"/>
      <c r="CS94" s="272"/>
      <c r="CT94" s="272"/>
      <c r="CU94" s="272"/>
      <c r="CV94" s="272"/>
      <c r="CW94" s="272"/>
      <c r="CX94" s="272"/>
      <c r="CY94" s="272"/>
      <c r="CZ94" s="272"/>
      <c r="DA94" s="272"/>
      <c r="DB94" s="272"/>
      <c r="DC94" s="272"/>
      <c r="DD94" s="272"/>
      <c r="DE94" s="272"/>
      <c r="DF94" s="272"/>
      <c r="DG94" s="272"/>
      <c r="DH94" s="272"/>
      <c r="DI94" s="272"/>
      <c r="DJ94" s="272"/>
      <c r="DK94" s="272"/>
      <c r="DL94" s="272"/>
      <c r="DM94" s="272"/>
      <c r="DN94" s="272"/>
      <c r="DO94" s="272"/>
      <c r="DP94" s="272"/>
      <c r="DQ94" s="272"/>
      <c r="DR94" s="272"/>
      <c r="DS94" s="272"/>
      <c r="DT94" s="272"/>
      <c r="DU94" s="272"/>
      <c r="DV94" s="272"/>
      <c r="DW94" s="272"/>
      <c r="DX94" s="272"/>
      <c r="DY94" s="272"/>
      <c r="DZ94" s="272"/>
      <c r="EA94" s="272"/>
      <c r="EB94" s="272"/>
      <c r="EC94" s="272"/>
      <c r="ED94" s="272"/>
      <c r="EE94" s="272"/>
      <c r="EF94" s="272"/>
      <c r="EG94" s="272"/>
      <c r="EH94" s="272"/>
      <c r="EI94" s="272"/>
      <c r="EJ94" s="272"/>
      <c r="EK94" s="272"/>
      <c r="EL94" s="272"/>
      <c r="EM94" s="272"/>
      <c r="EN94" s="272"/>
      <c r="EO94" s="272"/>
      <c r="EP94" s="272"/>
      <c r="EQ94" s="272"/>
      <c r="ER94" s="272"/>
      <c r="ES94" s="272"/>
      <c r="ET94" s="272"/>
      <c r="EU94" s="272"/>
      <c r="EV94" s="272"/>
      <c r="EW94" s="272"/>
      <c r="EX94" s="272"/>
      <c r="EY94" s="272"/>
      <c r="EZ94" s="272"/>
      <c r="FA94" s="272"/>
      <c r="FB94" s="272"/>
      <c r="FC94" s="272"/>
      <c r="FD94" s="272"/>
      <c r="FE94" s="272"/>
      <c r="FF94" s="272"/>
      <c r="FG94" s="272"/>
      <c r="FH94" s="272"/>
      <c r="FI94" s="272"/>
      <c r="FJ94" s="272"/>
      <c r="FK94" s="272"/>
      <c r="FL94" s="272"/>
      <c r="FM94" s="272"/>
      <c r="FN94" s="272"/>
      <c r="FO94" s="272"/>
      <c r="FP94" s="272"/>
      <c r="FQ94" s="272"/>
      <c r="FR94" s="272"/>
      <c r="FS94" s="272"/>
      <c r="FT94" s="272"/>
      <c r="FU94" s="272"/>
      <c r="FV94" s="272"/>
      <c r="FW94" s="272"/>
      <c r="FX94" s="272"/>
      <c r="FY94" s="272"/>
      <c r="FZ94" s="272"/>
      <c r="GA94" s="272"/>
      <c r="GB94" s="272"/>
      <c r="GC94" s="272"/>
      <c r="GD94" s="272"/>
      <c r="GE94" s="272"/>
      <c r="GF94" s="272"/>
      <c r="GG94" s="272"/>
      <c r="GH94" s="272"/>
      <c r="GI94" s="272"/>
      <c r="GJ94" s="272"/>
      <c r="GK94" s="272"/>
      <c r="GL94" s="272"/>
      <c r="GM94" s="272"/>
      <c r="GN94" s="272"/>
      <c r="GO94" s="272"/>
      <c r="GP94" s="272"/>
      <c r="GQ94" s="272"/>
      <c r="GR94" s="272"/>
      <c r="GS94" s="272"/>
      <c r="GT94" s="272"/>
      <c r="GU94" s="272"/>
      <c r="GV94" s="272"/>
      <c r="GW94" s="272"/>
      <c r="GX94" s="272"/>
      <c r="GY94" s="272"/>
      <c r="GZ94" s="272"/>
      <c r="HA94" s="272"/>
      <c r="HB94" s="272"/>
      <c r="HC94" s="272"/>
      <c r="HD94" s="272"/>
      <c r="HE94" s="272"/>
      <c r="HF94" s="272"/>
      <c r="HG94" s="272"/>
      <c r="HH94" s="272"/>
      <c r="HI94" s="272"/>
      <c r="HJ94" s="272"/>
      <c r="HK94" s="272"/>
      <c r="HL94" s="272"/>
      <c r="HM94" s="272"/>
      <c r="HN94" s="272"/>
      <c r="HO94" s="272"/>
      <c r="HP94" s="272"/>
      <c r="HQ94" s="272"/>
      <c r="HR94" s="272"/>
      <c r="HS94" s="272"/>
      <c r="HT94" s="272"/>
      <c r="HU94" s="272"/>
      <c r="HV94" s="272"/>
      <c r="HW94" s="272"/>
      <c r="HX94" s="272"/>
      <c r="HY94" s="272"/>
      <c r="HZ94" s="272"/>
      <c r="IA94" s="272"/>
      <c r="IB94" s="272"/>
      <c r="IC94" s="272"/>
      <c r="ID94" s="272"/>
      <c r="IE94" s="272"/>
      <c r="IF94" s="272"/>
      <c r="IG94" s="272"/>
      <c r="IH94" s="272"/>
      <c r="II94" s="272"/>
      <c r="IJ94" s="272"/>
      <c r="IK94" s="272"/>
      <c r="IL94" s="272"/>
      <c r="IM94" s="272"/>
      <c r="IN94" s="272"/>
      <c r="IO94" s="272"/>
      <c r="IP94" s="272"/>
      <c r="IQ94" s="272"/>
      <c r="IR94" s="272"/>
      <c r="IS94" s="272"/>
      <c r="IT94" s="272"/>
      <c r="IU94" s="272"/>
      <c r="IV94" s="272"/>
      <c r="IW94" s="272"/>
      <c r="IX94" s="272"/>
      <c r="IY94" s="272"/>
      <c r="IZ94" s="272"/>
      <c r="JA94" s="272"/>
      <c r="JB94" s="272"/>
      <c r="JC94" s="272"/>
      <c r="JD94" s="272"/>
      <c r="JE94" s="272"/>
      <c r="JF94" s="272"/>
      <c r="JG94" s="272"/>
      <c r="JH94" s="272"/>
      <c r="JI94" s="272"/>
      <c r="JJ94" s="272"/>
      <c r="JK94" s="272"/>
      <c r="JL94" s="272"/>
      <c r="JM94" s="272"/>
      <c r="JN94" s="272"/>
      <c r="JO94" s="272"/>
      <c r="JP94" s="272"/>
      <c r="JQ94" s="272"/>
      <c r="JR94" s="272"/>
      <c r="JS94" s="272"/>
      <c r="JT94" s="272"/>
      <c r="JU94" s="272"/>
      <c r="JV94" s="272"/>
      <c r="JW94" s="272"/>
      <c r="JX94" s="272"/>
      <c r="JY94" s="272"/>
      <c r="JZ94" s="272"/>
      <c r="KA94" s="272"/>
      <c r="KB94" s="272"/>
      <c r="KC94" s="272"/>
      <c r="KD94" s="272"/>
      <c r="KE94" s="272"/>
      <c r="KF94" s="272"/>
      <c r="KG94" s="272"/>
      <c r="KH94" s="272"/>
      <c r="KI94" s="272"/>
      <c r="KJ94" s="272"/>
      <c r="KK94" s="272"/>
      <c r="KL94" s="272"/>
      <c r="KM94" s="272"/>
      <c r="KN94" s="272"/>
      <c r="KO94" s="272"/>
      <c r="KP94" s="272"/>
      <c r="KQ94" s="272"/>
      <c r="KR94" s="272"/>
      <c r="KS94" s="272"/>
      <c r="KT94" s="272"/>
      <c r="KU94" s="272"/>
      <c r="KV94" s="272"/>
      <c r="KW94" s="272"/>
      <c r="KX94" s="272"/>
      <c r="KY94" s="272"/>
      <c r="KZ94" s="272"/>
      <c r="LA94" s="272"/>
      <c r="LB94" s="272"/>
      <c r="LC94" s="272"/>
      <c r="LD94" s="272"/>
      <c r="LE94" s="272"/>
      <c r="LF94" s="272"/>
      <c r="LG94" s="272"/>
      <c r="LH94" s="272"/>
      <c r="LI94" s="272"/>
      <c r="LJ94" s="272"/>
      <c r="LK94" s="272"/>
      <c r="LL94" s="272"/>
      <c r="LM94" s="272"/>
      <c r="LN94" s="272"/>
      <c r="LO94" s="272"/>
      <c r="LP94" s="272"/>
      <c r="LQ94" s="272"/>
      <c r="LR94" s="272"/>
      <c r="LS94" s="272"/>
      <c r="LT94" s="272"/>
      <c r="LU94" s="272"/>
      <c r="LV94" s="272"/>
      <c r="LW94" s="272"/>
      <c r="LX94" s="272"/>
      <c r="LY94" s="272"/>
      <c r="LZ94" s="272"/>
      <c r="MA94" s="272"/>
      <c r="MB94" s="272"/>
      <c r="MC94" s="272"/>
      <c r="MD94" s="272"/>
      <c r="ME94" s="272"/>
      <c r="MF94" s="272"/>
      <c r="MG94" s="272"/>
      <c r="MH94" s="272"/>
      <c r="MI94" s="272"/>
      <c r="MJ94" s="272"/>
      <c r="MK94" s="272"/>
      <c r="ML94" s="272"/>
      <c r="MM94" s="272"/>
      <c r="MN94" s="272"/>
      <c r="MO94" s="272"/>
      <c r="MP94" s="272"/>
      <c r="MQ94" s="272"/>
      <c r="MR94" s="272"/>
      <c r="MS94" s="272"/>
      <c r="MT94" s="272"/>
      <c r="MU94" s="272"/>
      <c r="MV94" s="272"/>
      <c r="MW94" s="272"/>
      <c r="MX94" s="272"/>
      <c r="MY94" s="272"/>
      <c r="MZ94" s="272"/>
      <c r="NA94" s="272"/>
      <c r="NB94" s="272"/>
      <c r="NC94" s="272"/>
      <c r="ND94" s="272"/>
      <c r="NE94" s="272"/>
      <c r="NF94" s="272"/>
      <c r="NG94" s="272"/>
      <c r="NH94" s="272"/>
      <c r="NI94" s="272"/>
      <c r="NJ94" s="272"/>
      <c r="NK94" s="272"/>
      <c r="NL94" s="272"/>
      <c r="NM94" s="272"/>
      <c r="NN94" s="272"/>
      <c r="NO94" s="272"/>
      <c r="NP94" s="272"/>
      <c r="NQ94" s="272"/>
      <c r="NR94" s="272"/>
      <c r="NS94" s="272"/>
      <c r="NT94" s="272"/>
      <c r="NU94" s="272"/>
      <c r="NV94" s="272"/>
      <c r="NW94" s="272"/>
      <c r="NX94" s="272"/>
      <c r="NY94" s="272"/>
      <c r="NZ94" s="272"/>
      <c r="OA94" s="272"/>
      <c r="OB94" s="272"/>
      <c r="OC94" s="272"/>
      <c r="OD94" s="272"/>
      <c r="OE94" s="272"/>
      <c r="OF94" s="272"/>
      <c r="OG94" s="272"/>
      <c r="OH94" s="272"/>
      <c r="OI94" s="272"/>
      <c r="OJ94" s="272"/>
      <c r="OK94" s="272"/>
      <c r="OL94" s="272"/>
      <c r="OM94" s="272"/>
      <c r="ON94" s="272"/>
      <c r="OO94" s="272"/>
      <c r="OP94" s="272"/>
      <c r="OQ94" s="272"/>
      <c r="OR94" s="272"/>
      <c r="OS94" s="272"/>
      <c r="OT94" s="272"/>
      <c r="OU94" s="272"/>
      <c r="OV94" s="272"/>
      <c r="OW94" s="272"/>
      <c r="OX94" s="272"/>
      <c r="OY94" s="272"/>
      <c r="OZ94" s="272"/>
      <c r="PA94" s="272"/>
      <c r="PB94" s="272"/>
      <c r="PC94" s="272"/>
      <c r="PD94" s="272"/>
      <c r="PE94" s="272"/>
      <c r="PF94" s="272"/>
      <c r="PG94" s="272"/>
      <c r="PH94" s="272"/>
      <c r="PI94" s="272"/>
      <c r="PJ94" s="272"/>
      <c r="PK94" s="272"/>
      <c r="PL94" s="272"/>
      <c r="PM94" s="272"/>
      <c r="PN94" s="272"/>
      <c r="PO94" s="272"/>
      <c r="PP94" s="272"/>
      <c r="PQ94" s="272"/>
      <c r="PR94" s="272"/>
      <c r="PS94" s="272"/>
      <c r="PT94" s="272"/>
      <c r="PU94" s="272"/>
      <c r="PV94" s="272"/>
      <c r="PW94" s="272"/>
      <c r="PX94" s="272"/>
      <c r="PY94" s="272"/>
      <c r="PZ94" s="272"/>
      <c r="QA94" s="272"/>
      <c r="QB94" s="272"/>
      <c r="QC94" s="272"/>
      <c r="QD94" s="272"/>
      <c r="QE94" s="272"/>
      <c r="QF94" s="272"/>
      <c r="QG94" s="272"/>
      <c r="QH94" s="272"/>
      <c r="QI94" s="272"/>
      <c r="QJ94" s="272"/>
      <c r="QK94" s="272"/>
      <c r="QL94" s="272"/>
      <c r="QM94" s="272"/>
      <c r="QN94" s="272"/>
      <c r="QO94" s="272"/>
      <c r="QP94" s="272"/>
      <c r="QQ94" s="272"/>
      <c r="QR94" s="272"/>
      <c r="QS94" s="272"/>
      <c r="QT94" s="272"/>
      <c r="QU94" s="272"/>
      <c r="QV94" s="272"/>
      <c r="QW94" s="272"/>
      <c r="QX94" s="272"/>
      <c r="QY94" s="272"/>
      <c r="QZ94" s="272"/>
      <c r="RA94" s="272"/>
      <c r="RB94" s="272"/>
      <c r="RC94" s="272"/>
      <c r="RD94" s="272"/>
      <c r="RE94" s="272"/>
      <c r="RF94" s="272"/>
      <c r="RG94" s="272"/>
      <c r="RH94" s="272"/>
      <c r="RI94" s="272"/>
      <c r="RJ94" s="272"/>
      <c r="RK94" s="272"/>
      <c r="RL94" s="272"/>
      <c r="RM94" s="272"/>
      <c r="RN94" s="272"/>
      <c r="RO94" s="272"/>
      <c r="RP94" s="272"/>
      <c r="RQ94" s="272"/>
      <c r="RR94" s="272"/>
      <c r="RS94" s="272"/>
      <c r="RT94" s="272"/>
      <c r="RU94" s="272"/>
      <c r="RV94" s="272"/>
      <c r="RW94" s="272"/>
      <c r="RX94" s="272"/>
      <c r="RY94" s="272"/>
      <c r="RZ94" s="272"/>
      <c r="SA94" s="272"/>
      <c r="SB94" s="272"/>
      <c r="SC94" s="272"/>
      <c r="SD94" s="272"/>
      <c r="SE94" s="272"/>
      <c r="SF94" s="272"/>
      <c r="SG94" s="272"/>
      <c r="SH94" s="272"/>
      <c r="SI94" s="272"/>
      <c r="SJ94" s="272"/>
      <c r="SK94" s="272"/>
      <c r="SL94" s="272"/>
      <c r="SM94" s="272"/>
      <c r="SN94" s="272"/>
      <c r="SO94" s="272"/>
      <c r="SP94" s="272"/>
      <c r="SQ94" s="272"/>
      <c r="SR94" s="272"/>
      <c r="SS94" s="272"/>
      <c r="ST94" s="272"/>
      <c r="SU94" s="272"/>
      <c r="SV94" s="272"/>
      <c r="SW94" s="272"/>
      <c r="SX94" s="272"/>
      <c r="SY94" s="272"/>
      <c r="SZ94" s="272"/>
      <c r="TA94" s="272"/>
      <c r="TB94" s="272"/>
      <c r="TC94" s="272"/>
      <c r="TD94" s="272"/>
      <c r="TE94" s="272"/>
      <c r="TF94" s="272"/>
      <c r="TG94" s="272"/>
      <c r="TH94" s="272"/>
      <c r="TI94" s="272"/>
      <c r="TJ94" s="272"/>
      <c r="TK94" s="272"/>
      <c r="TL94" s="272"/>
      <c r="TM94" s="272"/>
      <c r="TN94" s="272"/>
      <c r="TO94" s="272"/>
      <c r="TP94" s="272"/>
      <c r="TQ94" s="272"/>
      <c r="TR94" s="272"/>
      <c r="TS94" s="272"/>
      <c r="TT94" s="272"/>
      <c r="TU94" s="272"/>
      <c r="TV94" s="272"/>
      <c r="TW94" s="272"/>
      <c r="TX94" s="272"/>
      <c r="TY94" s="272"/>
      <c r="TZ94" s="272"/>
      <c r="UA94" s="272"/>
      <c r="UB94" s="272"/>
      <c r="UC94" s="272"/>
      <c r="UD94" s="272"/>
      <c r="UE94" s="272"/>
      <c r="UF94" s="272"/>
      <c r="UG94" s="272"/>
      <c r="UH94" s="272"/>
      <c r="UI94" s="272"/>
      <c r="UJ94" s="272"/>
      <c r="UK94" s="272"/>
      <c r="UL94" s="272"/>
      <c r="UM94" s="272"/>
      <c r="UN94" s="272"/>
      <c r="UO94" s="272"/>
      <c r="UP94" s="272"/>
      <c r="UQ94" s="272"/>
      <c r="UR94" s="272"/>
      <c r="US94" s="272"/>
      <c r="UT94" s="272"/>
      <c r="UU94" s="272"/>
      <c r="UV94" s="272"/>
      <c r="UW94" s="272"/>
      <c r="UX94" s="272"/>
      <c r="UY94" s="272"/>
      <c r="UZ94" s="272"/>
      <c r="VA94" s="272"/>
      <c r="VB94" s="272"/>
      <c r="VC94" s="272"/>
      <c r="VD94" s="272"/>
      <c r="VE94" s="272"/>
      <c r="VF94" s="272"/>
      <c r="VG94" s="272"/>
      <c r="VH94" s="272"/>
      <c r="VI94" s="272"/>
      <c r="VJ94" s="272"/>
      <c r="VK94" s="272"/>
      <c r="VL94" s="272"/>
      <c r="VM94" s="272"/>
      <c r="VN94" s="272"/>
      <c r="VO94" s="272"/>
      <c r="VP94" s="272"/>
      <c r="VQ94" s="272"/>
      <c r="VR94" s="272"/>
      <c r="VS94" s="272"/>
      <c r="VT94" s="272"/>
      <c r="VU94" s="272"/>
      <c r="VV94" s="272"/>
      <c r="VW94" s="272"/>
      <c r="VX94" s="272"/>
      <c r="VY94" s="272"/>
      <c r="VZ94" s="272"/>
      <c r="WA94" s="272"/>
      <c r="WB94" s="272"/>
      <c r="WC94" s="272"/>
      <c r="WD94" s="272"/>
      <c r="WE94" s="272"/>
      <c r="WF94" s="272"/>
      <c r="WG94" s="272"/>
      <c r="WH94" s="272"/>
      <c r="WI94" s="272"/>
      <c r="WJ94" s="272"/>
      <c r="WK94" s="272"/>
      <c r="WL94" s="272"/>
      <c r="WM94" s="272"/>
      <c r="WN94" s="272"/>
      <c r="WO94" s="272"/>
      <c r="WP94" s="272"/>
      <c r="WQ94" s="272"/>
      <c r="WR94" s="272"/>
      <c r="WS94" s="272"/>
      <c r="WT94" s="272"/>
      <c r="WU94" s="272"/>
      <c r="WV94" s="272"/>
      <c r="WW94" s="272"/>
      <c r="WX94" s="272"/>
      <c r="WY94" s="272"/>
      <c r="WZ94" s="272"/>
      <c r="XA94" s="272"/>
      <c r="XB94" s="272"/>
      <c r="XC94" s="272"/>
      <c r="XD94" s="272"/>
      <c r="XE94" s="272"/>
      <c r="XF94" s="272"/>
      <c r="XG94" s="272"/>
      <c r="XH94" s="272"/>
      <c r="XI94" s="272"/>
      <c r="XJ94" s="272"/>
      <c r="XK94" s="272"/>
      <c r="XL94" s="272"/>
      <c r="XM94" s="272"/>
      <c r="XN94" s="272"/>
      <c r="XO94" s="272"/>
      <c r="XP94" s="272"/>
      <c r="XQ94" s="272"/>
      <c r="XR94" s="272"/>
      <c r="XS94" s="272"/>
      <c r="XT94" s="272"/>
      <c r="XU94" s="272"/>
      <c r="XV94" s="272"/>
      <c r="XW94" s="272"/>
      <c r="XX94" s="272"/>
      <c r="XY94" s="272"/>
      <c r="XZ94" s="272"/>
      <c r="YA94" s="272"/>
      <c r="YB94" s="272"/>
      <c r="YC94" s="272"/>
      <c r="YD94" s="272"/>
      <c r="YE94" s="272"/>
      <c r="YF94" s="272"/>
      <c r="YG94" s="272"/>
      <c r="YH94" s="272"/>
      <c r="YI94" s="272"/>
      <c r="YJ94" s="272"/>
      <c r="YK94" s="272"/>
      <c r="YL94" s="272"/>
      <c r="YM94" s="272"/>
      <c r="YN94" s="272"/>
      <c r="YO94" s="272"/>
      <c r="YP94" s="272"/>
      <c r="YQ94" s="272"/>
      <c r="YR94" s="272"/>
      <c r="YS94" s="272"/>
      <c r="YT94" s="272"/>
      <c r="YU94" s="272"/>
      <c r="YV94" s="272"/>
      <c r="YW94" s="272"/>
      <c r="YX94" s="272"/>
      <c r="YY94" s="272"/>
      <c r="YZ94" s="272"/>
      <c r="ZA94" s="272"/>
      <c r="ZB94" s="272"/>
      <c r="ZC94" s="272"/>
      <c r="ZD94" s="272"/>
      <c r="ZE94" s="272"/>
      <c r="ZF94" s="272"/>
      <c r="ZG94" s="272"/>
      <c r="ZH94" s="272"/>
      <c r="ZI94" s="272"/>
      <c r="ZJ94" s="272"/>
      <c r="ZK94" s="272"/>
      <c r="ZL94" s="272"/>
      <c r="ZM94" s="272"/>
      <c r="ZN94" s="272"/>
      <c r="ZO94" s="272"/>
      <c r="ZP94" s="272"/>
      <c r="ZQ94" s="272"/>
      <c r="ZR94" s="272"/>
      <c r="ZS94" s="272"/>
      <c r="ZT94" s="272"/>
      <c r="ZU94" s="272"/>
      <c r="ZV94" s="272"/>
      <c r="ZW94" s="272"/>
    </row>
    <row r="95" spans="1:699" ht="15.75" customHeight="1" x14ac:dyDescent="0.2">
      <c r="A95" s="260"/>
      <c r="B95" s="200"/>
      <c r="C95" s="200">
        <v>2015</v>
      </c>
      <c r="D95" s="223">
        <f>C12</f>
        <v>2500000</v>
      </c>
      <c r="E95" s="223">
        <f>I63</f>
        <v>1724999.9999999998</v>
      </c>
      <c r="F95" s="200">
        <f>E69</f>
        <v>1.1340000000000001</v>
      </c>
      <c r="G95" s="200">
        <v>4</v>
      </c>
      <c r="H95" s="200">
        <f>1.02^G95</f>
        <v>1.08243216</v>
      </c>
      <c r="I95" s="200">
        <f>1.05^G95</f>
        <v>1.21550625</v>
      </c>
      <c r="J95" s="270">
        <f>H95*F95*D95</f>
        <v>3068695.1736000003</v>
      </c>
      <c r="K95" s="270">
        <f>I95*E95</f>
        <v>2096748.2812499998</v>
      </c>
      <c r="L95" s="270">
        <f>K95*1.04</f>
        <v>2180618.2124999999</v>
      </c>
      <c r="M95" s="200">
        <f>L95/J95</f>
        <v>0.71060111517750901</v>
      </c>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row>
    <row r="96" spans="1:699" ht="15.75" customHeight="1" x14ac:dyDescent="0.2">
      <c r="A96" s="260"/>
      <c r="B96" s="200"/>
      <c r="C96" s="200">
        <v>2016</v>
      </c>
      <c r="D96" s="223">
        <f>D12</f>
        <v>3100000</v>
      </c>
      <c r="E96" s="223">
        <f t="shared" ref="E96:E97" si="8">I64</f>
        <v>1912826.0869565215</v>
      </c>
      <c r="F96" s="200">
        <f>D79</f>
        <v>1.1227722772277229</v>
      </c>
      <c r="G96" s="200">
        <v>3</v>
      </c>
      <c r="H96" s="200">
        <f t="shared" ref="H96:H97" si="9">1.02^G96</f>
        <v>1.0612079999999999</v>
      </c>
      <c r="I96" s="200">
        <f t="shared" ref="I96:I97" si="10">1.05^G96</f>
        <v>1.1576250000000001</v>
      </c>
      <c r="J96" s="270">
        <f t="shared" ref="J96:J97" si="11">H96*F96*D96</f>
        <v>3693634.2605940597</v>
      </c>
      <c r="K96" s="270">
        <f t="shared" ref="K96:K97" si="12">I96*E96</f>
        <v>2214335.2989130435</v>
      </c>
      <c r="L96" s="270">
        <f t="shared" ref="L96:L97" si="13">K96*1.04</f>
        <v>2302908.7108695651</v>
      </c>
      <c r="M96" s="200">
        <f t="shared" ref="M96:M97" si="14">L96/J96</f>
        <v>0.62348043915403273</v>
      </c>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row>
    <row r="97" spans="1:52" ht="15.75" customHeight="1" x14ac:dyDescent="0.2">
      <c r="A97" s="260"/>
      <c r="B97" s="200"/>
      <c r="C97" s="200">
        <v>2017</v>
      </c>
      <c r="D97" s="223">
        <f>E12</f>
        <v>2100000</v>
      </c>
      <c r="E97" s="223">
        <f t="shared" si="8"/>
        <v>1473695.6521739131</v>
      </c>
      <c r="F97" s="200">
        <f>D90</f>
        <v>1.053169259345252</v>
      </c>
      <c r="G97" s="200">
        <v>2</v>
      </c>
      <c r="H97" s="200">
        <f t="shared" si="9"/>
        <v>1.0404</v>
      </c>
      <c r="I97" s="200">
        <f t="shared" si="10"/>
        <v>1.1025</v>
      </c>
      <c r="J97" s="270">
        <f t="shared" si="11"/>
        <v>2301006.3245878806</v>
      </c>
      <c r="K97" s="270">
        <f t="shared" si="12"/>
        <v>1624749.4565217393</v>
      </c>
      <c r="L97" s="270">
        <f t="shared" si="13"/>
        <v>1689739.4347826089</v>
      </c>
      <c r="M97" s="200">
        <f t="shared" si="14"/>
        <v>0.73434801839810149</v>
      </c>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row>
    <row r="98" spans="1:52" ht="15.75" customHeight="1" x14ac:dyDescent="0.2">
      <c r="A98" s="26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row>
    <row r="99" spans="1:52" ht="15.75" customHeight="1" x14ac:dyDescent="0.2">
      <c r="A99" s="260"/>
      <c r="B99" s="200"/>
      <c r="C99" s="200" t="s">
        <v>263</v>
      </c>
      <c r="D99" s="275">
        <v>43282</v>
      </c>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row>
    <row r="100" spans="1:52" ht="15.75" customHeight="1" x14ac:dyDescent="0.2">
      <c r="A100" s="260"/>
      <c r="B100" s="200"/>
      <c r="C100" s="200" t="s">
        <v>264</v>
      </c>
      <c r="D100" s="200">
        <v>1</v>
      </c>
      <c r="E100" s="200" t="s">
        <v>265</v>
      </c>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row>
    <row r="101" spans="1:52" ht="15.75" customHeight="1" x14ac:dyDescent="0.2">
      <c r="A101" s="26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row>
    <row r="102" spans="1:52" ht="15.75" customHeight="1" x14ac:dyDescent="0.2">
      <c r="A102" s="260"/>
      <c r="B102" s="200"/>
      <c r="C102" s="200" t="s">
        <v>266</v>
      </c>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row>
    <row r="103" spans="1:52" ht="15.75" customHeight="1" x14ac:dyDescent="0.2">
      <c r="A103" s="26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row>
    <row r="104" spans="1:52" ht="15.75" customHeight="1" x14ac:dyDescent="0.2">
      <c r="A104" s="260"/>
      <c r="B104" s="200"/>
      <c r="C104" s="200" t="s">
        <v>267</v>
      </c>
      <c r="D104" s="200" t="s">
        <v>268</v>
      </c>
      <c r="E104" s="200" t="s">
        <v>269</v>
      </c>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row>
    <row r="105" spans="1:52" ht="15.75" customHeight="1" x14ac:dyDescent="0.2">
      <c r="A105" s="260"/>
      <c r="B105" s="200"/>
      <c r="C105" s="200" t="s">
        <v>270</v>
      </c>
      <c r="D105" s="275">
        <v>43647</v>
      </c>
      <c r="E105" s="200" t="s">
        <v>271</v>
      </c>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row>
    <row r="106" spans="1:52" ht="15.75" customHeight="1" x14ac:dyDescent="0.2">
      <c r="A106" s="26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row>
    <row r="107" spans="1:52" ht="15.75" customHeight="1" x14ac:dyDescent="0.2">
      <c r="A107" s="260"/>
      <c r="B107" s="200"/>
      <c r="C107" s="200" t="s">
        <v>272</v>
      </c>
      <c r="D107" s="200"/>
      <c r="E107" s="200">
        <f>SUM(L95:L97)/SUM(J95:J97)</f>
        <v>0.68112519743854494</v>
      </c>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row>
    <row r="108" spans="1:52" ht="15.75" customHeight="1" x14ac:dyDescent="0.2">
      <c r="A108" s="260"/>
      <c r="B108" s="200"/>
      <c r="C108" s="200" t="s">
        <v>273</v>
      </c>
      <c r="D108" s="200"/>
      <c r="E108" s="200" t="s">
        <v>274</v>
      </c>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row>
    <row r="109" spans="1:52" ht="15.75" customHeight="1" x14ac:dyDescent="0.2">
      <c r="A109" s="26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row>
    <row r="110" spans="1:52" ht="15.75" customHeight="1" x14ac:dyDescent="0.2">
      <c r="A110" s="260"/>
      <c r="B110" s="200"/>
      <c r="C110" s="200" t="s">
        <v>275</v>
      </c>
      <c r="D110" s="202" t="s">
        <v>233</v>
      </c>
      <c r="E110" s="200" t="s">
        <v>276</v>
      </c>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row>
    <row r="111" spans="1:52" ht="15.75" customHeight="1" x14ac:dyDescent="0.2">
      <c r="A111" s="260"/>
      <c r="B111" s="200"/>
      <c r="C111" s="200" t="s">
        <v>277</v>
      </c>
      <c r="D111" s="202" t="s">
        <v>233</v>
      </c>
      <c r="E111" s="276">
        <f>E107+B22</f>
        <v>0.74112519743854488</v>
      </c>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row>
    <row r="112" spans="1:52" ht="15.75" customHeight="1" x14ac:dyDescent="0.2">
      <c r="A112" s="260"/>
      <c r="B112" s="200"/>
      <c r="C112" s="200" t="s">
        <v>278</v>
      </c>
      <c r="D112" s="202" t="s">
        <v>233</v>
      </c>
      <c r="E112" s="200">
        <f>E111/1.07</f>
        <v>0.69264037143789237</v>
      </c>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row>
    <row r="113" spans="1:52" ht="15.75" customHeight="1" x14ac:dyDescent="0.2">
      <c r="A113" s="260"/>
      <c r="B113" s="200"/>
      <c r="C113" s="200" t="s">
        <v>279</v>
      </c>
      <c r="D113" s="202" t="s">
        <v>233</v>
      </c>
      <c r="E113" s="200">
        <f>1-0.2-E112</f>
        <v>0.10735962856210768</v>
      </c>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row>
    <row r="114" spans="1:52" ht="15.75" customHeight="1" x14ac:dyDescent="0.2">
      <c r="A114" s="26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row>
    <row r="115" spans="1:52" ht="15.75" customHeight="1" x14ac:dyDescent="0.2">
      <c r="A115" s="260"/>
      <c r="B115" s="200"/>
      <c r="C115" s="200" t="s">
        <v>280</v>
      </c>
      <c r="D115" s="200"/>
      <c r="E115" s="200" t="s">
        <v>281</v>
      </c>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row>
    <row r="116" spans="1:52" ht="15.75" customHeight="1" x14ac:dyDescent="0.2">
      <c r="A116" s="26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row>
    <row r="117" spans="1:52" ht="15.75" customHeight="1" x14ac:dyDescent="0.2">
      <c r="A117" s="26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row>
    <row r="118" spans="1:52" ht="15.75" customHeight="1" x14ac:dyDescent="0.2">
      <c r="A118" s="26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row>
    <row r="119" spans="1:52" ht="15.75" customHeight="1" x14ac:dyDescent="0.2">
      <c r="A119" s="26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row>
    <row r="120" spans="1:52" ht="15.75" customHeight="1" x14ac:dyDescent="0.2">
      <c r="A120" s="26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row>
    <row r="121" spans="1:52" ht="15.75" customHeight="1" x14ac:dyDescent="0.2">
      <c r="A121" s="26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row>
    <row r="122" spans="1:52" ht="15.75" customHeight="1" x14ac:dyDescent="0.2">
      <c r="A122" s="26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row>
    <row r="123" spans="1:52" ht="15.75" customHeight="1" x14ac:dyDescent="0.2">
      <c r="A123" s="26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row>
    <row r="124" spans="1:52" ht="15.75" customHeight="1" x14ac:dyDescent="0.2">
      <c r="A124" s="26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row>
    <row r="125" spans="1:52" ht="15.75" customHeight="1" x14ac:dyDescent="0.2">
      <c r="A125" s="26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row>
    <row r="126" spans="1:52" ht="15.75" customHeight="1" x14ac:dyDescent="0.2">
      <c r="A126" s="26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row>
    <row r="127" spans="1:52" ht="15.75" customHeight="1" x14ac:dyDescent="0.2">
      <c r="A127" s="26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row>
    <row r="128" spans="1:52" ht="15.75" customHeight="1" x14ac:dyDescent="0.2">
      <c r="A128" s="26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row>
    <row r="129" spans="1:52" ht="15.75" customHeight="1" x14ac:dyDescent="0.2">
      <c r="A129" s="26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row>
    <row r="130" spans="1:52" ht="15.75" customHeight="1" x14ac:dyDescent="0.2">
      <c r="A130" s="26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row>
    <row r="131" spans="1:52" ht="15.75" customHeight="1" x14ac:dyDescent="0.2">
      <c r="A131" s="26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row>
    <row r="132" spans="1:52" ht="15.75" customHeight="1" x14ac:dyDescent="0.2">
      <c r="A132" s="26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row>
    <row r="133" spans="1:52" ht="15.75" customHeight="1" x14ac:dyDescent="0.2">
      <c r="A133" s="26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row>
    <row r="134" spans="1:52" ht="15.75" customHeight="1" x14ac:dyDescent="0.2">
      <c r="A134" s="26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row>
    <row r="135" spans="1:52" ht="15.75" customHeight="1" x14ac:dyDescent="0.2">
      <c r="A135" s="26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row>
    <row r="136" spans="1:52" ht="15.75" customHeight="1" x14ac:dyDescent="0.2">
      <c r="A136" s="26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row>
    <row r="137" spans="1:52" ht="15.75" customHeight="1" x14ac:dyDescent="0.2">
      <c r="A137" s="26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row>
    <row r="138" spans="1:52" ht="15.75" customHeight="1" x14ac:dyDescent="0.2">
      <c r="A138" s="26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row>
    <row r="139" spans="1:52" ht="15.75" customHeight="1" x14ac:dyDescent="0.2">
      <c r="A139" s="26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row>
    <row r="140" spans="1:52" ht="15.75" customHeight="1" x14ac:dyDescent="0.2">
      <c r="A140" s="26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row>
    <row r="141" spans="1:52" ht="15.75" customHeight="1" x14ac:dyDescent="0.2">
      <c r="A141" s="26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row>
    <row r="142" spans="1:52" ht="15.75" customHeight="1" x14ac:dyDescent="0.2">
      <c r="A142" s="26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row>
    <row r="143" spans="1:52" ht="15.75" customHeight="1" x14ac:dyDescent="0.2">
      <c r="A143" s="26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row>
    <row r="144" spans="1:52" ht="15.75" customHeight="1" x14ac:dyDescent="0.2">
      <c r="A144" s="26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row>
    <row r="145" spans="1:52" ht="15.75" customHeight="1" x14ac:dyDescent="0.2">
      <c r="A145" s="26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row>
    <row r="146" spans="1:52" ht="15.75" customHeight="1" x14ac:dyDescent="0.2">
      <c r="A146" s="26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row>
    <row r="147" spans="1:52" ht="15.75" customHeight="1" x14ac:dyDescent="0.2">
      <c r="A147" s="26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row>
    <row r="148" spans="1:52" ht="15.75" customHeight="1" x14ac:dyDescent="0.2">
      <c r="A148" s="26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row>
    <row r="149" spans="1:52" ht="15.75" customHeight="1" x14ac:dyDescent="0.2">
      <c r="A149" s="26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row>
    <row r="150" spans="1:52" ht="15.75" customHeight="1" x14ac:dyDescent="0.2">
      <c r="A150" s="26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row>
    <row r="151" spans="1:52" ht="15.75" customHeight="1" x14ac:dyDescent="0.2">
      <c r="A151" s="26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row>
    <row r="152" spans="1:52" ht="15.75" customHeight="1" x14ac:dyDescent="0.2">
      <c r="A152" s="26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row>
    <row r="153" spans="1:52" ht="15.75" customHeight="1" x14ac:dyDescent="0.2">
      <c r="A153" s="26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row>
    <row r="154" spans="1:52" ht="15.75" customHeight="1" x14ac:dyDescent="0.2">
      <c r="A154" s="26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row>
    <row r="155" spans="1:52" ht="15.75" customHeight="1" x14ac:dyDescent="0.2">
      <c r="A155" s="26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row>
    <row r="156" spans="1:52" ht="15.75" customHeight="1" x14ac:dyDescent="0.2">
      <c r="A156" s="26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row>
    <row r="157" spans="1:52" ht="15.75" customHeight="1" x14ac:dyDescent="0.2">
      <c r="A157" s="26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row>
    <row r="158" spans="1:52" ht="15.75" customHeight="1" x14ac:dyDescent="0.2">
      <c r="A158" s="26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row>
    <row r="159" spans="1:52" ht="15.75" customHeight="1" x14ac:dyDescent="0.2">
      <c r="A159" s="26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row>
    <row r="160" spans="1:52" ht="15.75" customHeight="1" x14ac:dyDescent="0.2">
      <c r="A160" s="26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row>
    <row r="161" spans="1:52" ht="15.75" customHeight="1" x14ac:dyDescent="0.2">
      <c r="A161" s="26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row>
    <row r="162" spans="1:52" ht="15.75" customHeight="1" x14ac:dyDescent="0.2">
      <c r="A162" s="26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row>
    <row r="163" spans="1:52" ht="15.75" customHeight="1" x14ac:dyDescent="0.2">
      <c r="A163" s="26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row>
    <row r="164" spans="1:52" ht="15.75" customHeight="1" x14ac:dyDescent="0.2">
      <c r="A164" s="26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row>
    <row r="165" spans="1:52" ht="15.75" customHeight="1" x14ac:dyDescent="0.2">
      <c r="A165" s="26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row>
    <row r="166" spans="1:52" ht="15.75" customHeight="1" x14ac:dyDescent="0.2">
      <c r="A166" s="26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row>
    <row r="167" spans="1:52" ht="15.75" customHeight="1" x14ac:dyDescent="0.2">
      <c r="A167" s="26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row>
    <row r="168" spans="1:52" ht="15.75" customHeight="1" x14ac:dyDescent="0.2">
      <c r="A168" s="26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row>
    <row r="169" spans="1:52" ht="15.75" customHeight="1" x14ac:dyDescent="0.2">
      <c r="A169" s="26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row>
    <row r="170" spans="1:52" ht="15.75" customHeight="1" x14ac:dyDescent="0.2">
      <c r="A170" s="26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row>
    <row r="171" spans="1:52" ht="15.75" customHeight="1" x14ac:dyDescent="0.2">
      <c r="A171" s="26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row>
    <row r="172" spans="1:52" ht="15.75" customHeight="1" x14ac:dyDescent="0.2">
      <c r="A172" s="26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row>
    <row r="173" spans="1:52" ht="15.75" customHeight="1" x14ac:dyDescent="0.2">
      <c r="A173" s="26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row>
    <row r="174" spans="1:52" ht="15.75" customHeight="1" x14ac:dyDescent="0.2">
      <c r="A174" s="26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row>
    <row r="175" spans="1:52" ht="15.75" customHeight="1" x14ac:dyDescent="0.2">
      <c r="A175" s="26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row>
    <row r="176" spans="1:52" ht="15.75" customHeight="1" x14ac:dyDescent="0.2">
      <c r="A176" s="26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row>
    <row r="177" spans="1:52" ht="15.75" customHeight="1" x14ac:dyDescent="0.2">
      <c r="A177" s="26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row>
    <row r="178" spans="1:52" ht="15.75" customHeight="1" x14ac:dyDescent="0.2">
      <c r="A178" s="26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row>
    <row r="179" spans="1:52" ht="15.75" customHeight="1" x14ac:dyDescent="0.2">
      <c r="A179" s="26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row>
    <row r="180" spans="1:52" ht="15.75" customHeight="1" x14ac:dyDescent="0.2">
      <c r="A180" s="26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row>
    <row r="181" spans="1:52" ht="15.75" customHeight="1" x14ac:dyDescent="0.2">
      <c r="A181" s="26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row>
    <row r="182" spans="1:52" ht="15.75" customHeight="1" x14ac:dyDescent="0.2">
      <c r="A182" s="26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row>
    <row r="183" spans="1:52" ht="15.75" customHeight="1" x14ac:dyDescent="0.2">
      <c r="A183" s="26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row>
    <row r="184" spans="1:52" ht="15.75" customHeight="1" x14ac:dyDescent="0.2">
      <c r="A184" s="26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row>
    <row r="185" spans="1:52" ht="15.75" customHeight="1" x14ac:dyDescent="0.2">
      <c r="A185" s="26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row>
    <row r="186" spans="1:52" ht="15.75" customHeight="1" x14ac:dyDescent="0.2">
      <c r="A186" s="26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row>
    <row r="187" spans="1:52" ht="15.75" customHeight="1" x14ac:dyDescent="0.2">
      <c r="A187" s="26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row>
    <row r="188" spans="1:52" ht="15.75" customHeight="1" x14ac:dyDescent="0.2">
      <c r="A188" s="26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row>
    <row r="189" spans="1:52" ht="15.75" customHeight="1" x14ac:dyDescent="0.2">
      <c r="A189" s="26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row>
    <row r="190" spans="1:52" ht="15.75" customHeight="1" x14ac:dyDescent="0.2">
      <c r="A190" s="26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row>
    <row r="191" spans="1:52" ht="15.75" customHeight="1" x14ac:dyDescent="0.2">
      <c r="A191" s="26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row>
    <row r="192" spans="1:52" ht="15.75" customHeight="1" x14ac:dyDescent="0.2">
      <c r="A192" s="26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row>
    <row r="193" spans="1:52" ht="15.75" customHeight="1" x14ac:dyDescent="0.2">
      <c r="A193" s="26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row>
    <row r="194" spans="1:52" ht="15.75" customHeight="1" x14ac:dyDescent="0.2">
      <c r="A194" s="26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row>
    <row r="195" spans="1:52" ht="15.75" customHeight="1" x14ac:dyDescent="0.2">
      <c r="A195" s="26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row>
    <row r="196" spans="1:52" ht="15.75" customHeight="1" x14ac:dyDescent="0.2">
      <c r="A196" s="262"/>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row>
    <row r="197" spans="1:52" ht="0" hidden="1" customHeight="1" x14ac:dyDescent="0.2">
      <c r="A197" s="262"/>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row>
    <row r="198" spans="1:52" ht="0" hidden="1" customHeight="1" x14ac:dyDescent="0.2">
      <c r="A198" s="262"/>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row>
    <row r="199" spans="1:52" ht="0" hidden="1" customHeight="1" x14ac:dyDescent="0.2">
      <c r="A199" s="262"/>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row>
    <row r="200" spans="1:52" ht="0" hidden="1" customHeight="1" x14ac:dyDescent="0.2">
      <c r="A200" s="262"/>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row>
    <row r="201" spans="1:52" ht="0" hidden="1" customHeight="1" x14ac:dyDescent="0.2">
      <c r="A201" s="263"/>
      <c r="B201" s="263"/>
      <c r="C201" s="263"/>
      <c r="D201" s="263"/>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c r="AA201" s="263"/>
      <c r="AB201" s="263"/>
      <c r="AC201" s="263"/>
      <c r="AD201" s="263"/>
      <c r="AE201" s="263"/>
      <c r="AF201" s="263"/>
      <c r="AG201" s="263"/>
      <c r="AH201" s="263"/>
      <c r="AI201" s="263"/>
      <c r="AJ201" s="263"/>
      <c r="AK201" s="263"/>
      <c r="AL201" s="263"/>
      <c r="AM201" s="263"/>
      <c r="AN201" s="263"/>
      <c r="AO201" s="263"/>
      <c r="AP201" s="263"/>
      <c r="AQ201" s="263"/>
      <c r="AR201" s="263"/>
      <c r="AS201" s="263"/>
      <c r="AT201" s="263"/>
      <c r="AU201" s="263"/>
      <c r="AV201" s="263"/>
      <c r="AW201" s="263"/>
    </row>
  </sheetData>
  <sheetProtection formatCells="0" formatColumns="0" formatRows="0" autoFilter="0"/>
  <pageMargins left="0.75" right="0.75" top="1" bottom="1" header="0.5" footer="0.5"/>
  <pageSetup scale="77" orientation="portrait"/>
  <headerFooter alignWithMargins="0">
    <oddHeader>&amp;CSpring 2018 Exam 5 Make-Up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W201"/>
  <sheetViews>
    <sheetView zoomScale="90" zoomScaleNormal="90" zoomScalePageLayoutView="90" workbookViewId="0"/>
  </sheetViews>
  <sheetFormatPr defaultColWidth="0" defaultRowHeight="0" customHeight="1" zeroHeight="1" x14ac:dyDescent="0.2"/>
  <cols>
    <col min="1" max="5" width="17.25" style="201" customWidth="1"/>
    <col min="6" max="6" width="12.125" style="201" bestFit="1" customWidth="1"/>
    <col min="7" max="7" width="16" style="201" customWidth="1"/>
    <col min="8" max="8" width="8.875" style="201" customWidth="1"/>
    <col min="9" max="9" width="23.125" style="201" bestFit="1" customWidth="1"/>
    <col min="10" max="10" width="13.5" style="201" bestFit="1" customWidth="1"/>
    <col min="11" max="49" width="8.875" style="201" customWidth="1"/>
    <col min="50" max="16384" width="8.875" style="201" hidden="1"/>
  </cols>
  <sheetData>
    <row r="1" spans="1:699" ht="15.75" customHeight="1" thickBot="1" x14ac:dyDescent="0.25">
      <c r="A1" s="1">
        <v>6</v>
      </c>
      <c r="B1" s="2"/>
      <c r="C1" s="33"/>
      <c r="D1" s="33"/>
      <c r="E1" s="33"/>
      <c r="F1" s="33"/>
      <c r="G1" s="34"/>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row>
    <row r="2" spans="1:699" ht="15.75" customHeight="1" x14ac:dyDescent="0.2">
      <c r="A2" s="38" t="s">
        <v>0</v>
      </c>
      <c r="B2" s="39"/>
      <c r="C2" s="39"/>
      <c r="D2" s="39"/>
      <c r="E2" s="39"/>
      <c r="F2" s="39"/>
      <c r="G2" s="4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row>
    <row r="3" spans="1:699" ht="15.75" customHeight="1" x14ac:dyDescent="0.2">
      <c r="A3" s="42">
        <v>4.5</v>
      </c>
      <c r="B3" s="39"/>
      <c r="C3" s="39"/>
      <c r="D3" s="39"/>
      <c r="E3" s="39"/>
      <c r="F3" s="39"/>
      <c r="G3" s="4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row>
    <row r="4" spans="1:699" ht="15.75" customHeight="1" x14ac:dyDescent="0.2">
      <c r="A4" s="42"/>
      <c r="B4" s="88" t="s">
        <v>181</v>
      </c>
      <c r="C4" s="39"/>
      <c r="D4" s="39"/>
      <c r="E4" s="39"/>
      <c r="F4" s="39"/>
      <c r="G4" s="47"/>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row>
    <row r="5" spans="1:699" ht="15.75" customHeight="1" thickBot="1" x14ac:dyDescent="0.25">
      <c r="A5" s="42"/>
      <c r="B5" s="88"/>
      <c r="C5" s="39"/>
      <c r="D5" s="39"/>
      <c r="E5" s="39"/>
      <c r="F5" s="39"/>
      <c r="G5" s="47"/>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row>
    <row r="6" spans="1:699" ht="15.75" customHeight="1" thickBot="1" x14ac:dyDescent="0.25">
      <c r="A6" s="42"/>
      <c r="B6" s="203" t="s">
        <v>186</v>
      </c>
      <c r="C6" s="204"/>
      <c r="D6" s="39"/>
      <c r="E6" s="39"/>
      <c r="F6" s="39"/>
      <c r="G6" s="47"/>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row>
    <row r="7" spans="1:699" ht="15.75" customHeight="1" thickBot="1" x14ac:dyDescent="0.25">
      <c r="A7" s="42"/>
      <c r="B7" s="205" t="s">
        <v>187</v>
      </c>
      <c r="C7" s="206" t="s">
        <v>188</v>
      </c>
      <c r="D7" s="39"/>
      <c r="E7" s="39"/>
      <c r="F7" s="39"/>
      <c r="G7" s="57"/>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row>
    <row r="8" spans="1:699" ht="15.75" customHeight="1" x14ac:dyDescent="0.2">
      <c r="A8" s="42"/>
      <c r="B8" s="207">
        <v>42552</v>
      </c>
      <c r="C8" s="208">
        <v>0.08</v>
      </c>
      <c r="D8" s="209"/>
      <c r="E8" s="209"/>
      <c r="F8" s="210"/>
      <c r="G8" s="61"/>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row>
    <row r="9" spans="1:699" ht="15.75" customHeight="1" thickBot="1" x14ac:dyDescent="0.25">
      <c r="A9" s="42"/>
      <c r="B9" s="211">
        <v>42917</v>
      </c>
      <c r="C9" s="212">
        <v>0.05</v>
      </c>
      <c r="D9" s="209"/>
      <c r="E9" s="209"/>
      <c r="F9" s="210"/>
      <c r="G9" s="61"/>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row>
    <row r="10" spans="1:699" s="214" customFormat="1" ht="15.75" customHeight="1" thickBot="1" x14ac:dyDescent="0.25">
      <c r="A10" s="42"/>
      <c r="B10" s="213"/>
      <c r="C10" s="209"/>
      <c r="D10" s="209"/>
      <c r="E10" s="209"/>
      <c r="F10" s="210"/>
      <c r="G10" s="61"/>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201"/>
      <c r="DL10" s="201"/>
      <c r="DM10" s="201"/>
      <c r="DN10" s="201"/>
      <c r="DO10" s="201"/>
      <c r="DP10" s="201"/>
      <c r="DQ10" s="201"/>
      <c r="DR10" s="201"/>
      <c r="DS10" s="201"/>
      <c r="DT10" s="201"/>
      <c r="DU10" s="201"/>
      <c r="DV10" s="201"/>
      <c r="DW10" s="201"/>
      <c r="DX10" s="201"/>
      <c r="DY10" s="201"/>
      <c r="DZ10" s="201"/>
      <c r="EA10" s="201"/>
      <c r="EB10" s="201"/>
      <c r="EC10" s="201"/>
      <c r="ED10" s="201"/>
      <c r="EE10" s="201"/>
      <c r="EF10" s="201"/>
      <c r="EG10" s="201"/>
      <c r="EH10" s="201"/>
      <c r="EI10" s="201"/>
      <c r="EJ10" s="201"/>
      <c r="EK10" s="201"/>
      <c r="EL10" s="201"/>
      <c r="EM10" s="201"/>
      <c r="EN10" s="201"/>
      <c r="EO10" s="201"/>
      <c r="EP10" s="201"/>
      <c r="EQ10" s="201"/>
      <c r="ER10" s="201"/>
      <c r="ES10" s="201"/>
      <c r="ET10" s="201"/>
      <c r="EU10" s="201"/>
      <c r="EV10" s="201"/>
      <c r="EW10" s="201"/>
      <c r="EX10" s="201"/>
      <c r="EY10" s="201"/>
      <c r="EZ10" s="201"/>
      <c r="FA10" s="201"/>
      <c r="FB10" s="201"/>
      <c r="FC10" s="201"/>
      <c r="FD10" s="201"/>
      <c r="FE10" s="201"/>
      <c r="FF10" s="201"/>
      <c r="FG10" s="201"/>
      <c r="FH10" s="201"/>
      <c r="FI10" s="201"/>
      <c r="FJ10" s="201"/>
      <c r="FK10" s="201"/>
      <c r="FL10" s="201"/>
      <c r="FM10" s="201"/>
      <c r="FN10" s="201"/>
      <c r="FO10" s="201"/>
      <c r="FP10" s="201"/>
      <c r="FQ10" s="201"/>
      <c r="FR10" s="201"/>
      <c r="FS10" s="201"/>
      <c r="FT10" s="201"/>
      <c r="FU10" s="201"/>
      <c r="FV10" s="201"/>
      <c r="FW10" s="201"/>
      <c r="FX10" s="201"/>
      <c r="FY10" s="201"/>
      <c r="FZ10" s="201"/>
      <c r="GA10" s="201"/>
      <c r="GB10" s="201"/>
      <c r="GC10" s="201"/>
      <c r="GD10" s="201"/>
      <c r="GE10" s="201"/>
      <c r="GF10" s="201"/>
      <c r="GG10" s="201"/>
      <c r="GH10" s="201"/>
      <c r="GI10" s="201"/>
      <c r="GJ10" s="201"/>
      <c r="GK10" s="201"/>
      <c r="GL10" s="201"/>
      <c r="GM10" s="201"/>
      <c r="GN10" s="201"/>
      <c r="GO10" s="201"/>
      <c r="GP10" s="201"/>
      <c r="GQ10" s="201"/>
      <c r="GR10" s="201"/>
      <c r="GS10" s="201"/>
      <c r="GT10" s="201"/>
      <c r="GU10" s="201"/>
      <c r="GV10" s="201"/>
      <c r="GW10" s="201"/>
      <c r="GX10" s="201"/>
      <c r="GY10" s="201"/>
      <c r="GZ10" s="201"/>
      <c r="HA10" s="201"/>
      <c r="HB10" s="201"/>
      <c r="HC10" s="201"/>
      <c r="HD10" s="201"/>
      <c r="HE10" s="201"/>
      <c r="HF10" s="201"/>
      <c r="HG10" s="201"/>
      <c r="HH10" s="201"/>
      <c r="HI10" s="201"/>
      <c r="HJ10" s="201"/>
      <c r="HK10" s="201"/>
      <c r="HL10" s="201"/>
      <c r="HM10" s="201"/>
      <c r="HN10" s="201"/>
      <c r="HO10" s="201"/>
      <c r="HP10" s="201"/>
      <c r="HQ10" s="201"/>
      <c r="HR10" s="201"/>
      <c r="HS10" s="201"/>
      <c r="HT10" s="201"/>
      <c r="HU10" s="201"/>
      <c r="HV10" s="201"/>
      <c r="HW10" s="201"/>
      <c r="HX10" s="201"/>
      <c r="HY10" s="201"/>
      <c r="HZ10" s="201"/>
      <c r="IA10" s="201"/>
      <c r="IB10" s="201"/>
      <c r="IC10" s="201"/>
      <c r="ID10" s="201"/>
      <c r="IE10" s="201"/>
      <c r="IF10" s="201"/>
      <c r="IG10" s="201"/>
      <c r="IH10" s="201"/>
      <c r="II10" s="201"/>
      <c r="IJ10" s="201"/>
      <c r="IK10" s="201"/>
      <c r="IL10" s="201"/>
      <c r="IM10" s="201"/>
      <c r="IN10" s="201"/>
      <c r="IO10" s="201"/>
      <c r="IP10" s="201"/>
      <c r="IQ10" s="201"/>
      <c r="IR10" s="201"/>
      <c r="IS10" s="201"/>
      <c r="IT10" s="201"/>
      <c r="IU10" s="201"/>
      <c r="IV10" s="201"/>
      <c r="IW10" s="201"/>
      <c r="IX10" s="201"/>
      <c r="IY10" s="201"/>
      <c r="IZ10" s="201"/>
      <c r="JA10" s="201"/>
      <c r="JB10" s="201"/>
      <c r="JC10" s="201"/>
      <c r="JD10" s="201"/>
      <c r="JE10" s="201"/>
      <c r="JF10" s="201"/>
      <c r="JG10" s="201"/>
      <c r="JH10" s="201"/>
      <c r="JI10" s="201"/>
      <c r="JJ10" s="201"/>
      <c r="JK10" s="201"/>
      <c r="JL10" s="201"/>
      <c r="JM10" s="201"/>
      <c r="JN10" s="201"/>
      <c r="JO10" s="201"/>
      <c r="JP10" s="201"/>
      <c r="JQ10" s="201"/>
      <c r="JR10" s="201"/>
      <c r="JS10" s="201"/>
      <c r="JT10" s="201"/>
      <c r="JU10" s="201"/>
      <c r="JV10" s="201"/>
      <c r="JW10" s="201"/>
      <c r="JX10" s="201"/>
      <c r="JY10" s="201"/>
      <c r="JZ10" s="201"/>
      <c r="KA10" s="201"/>
      <c r="KB10" s="201"/>
      <c r="KC10" s="201"/>
      <c r="KD10" s="201"/>
      <c r="KE10" s="201"/>
      <c r="KF10" s="201"/>
      <c r="KG10" s="201"/>
      <c r="KH10" s="201"/>
      <c r="KI10" s="201"/>
      <c r="KJ10" s="201"/>
      <c r="KK10" s="201"/>
      <c r="KL10" s="201"/>
      <c r="KM10" s="201"/>
      <c r="KN10" s="201"/>
      <c r="KO10" s="201"/>
      <c r="KP10" s="201"/>
      <c r="KQ10" s="201"/>
      <c r="KR10" s="201"/>
      <c r="KS10" s="201"/>
      <c r="KT10" s="201"/>
      <c r="KU10" s="201"/>
      <c r="KV10" s="201"/>
      <c r="KW10" s="201"/>
      <c r="KX10" s="201"/>
      <c r="KY10" s="201"/>
      <c r="KZ10" s="201"/>
      <c r="LA10" s="201"/>
      <c r="LB10" s="201"/>
      <c r="LC10" s="201"/>
      <c r="LD10" s="201"/>
      <c r="LE10" s="201"/>
      <c r="LF10" s="201"/>
      <c r="LG10" s="201"/>
      <c r="LH10" s="201"/>
      <c r="LI10" s="201"/>
      <c r="LJ10" s="201"/>
      <c r="LK10" s="201"/>
      <c r="LL10" s="201"/>
      <c r="LM10" s="201"/>
      <c r="LN10" s="201"/>
      <c r="LO10" s="201"/>
      <c r="LP10" s="201"/>
      <c r="LQ10" s="201"/>
      <c r="LR10" s="201"/>
      <c r="LS10" s="201"/>
      <c r="LT10" s="201"/>
      <c r="LU10" s="201"/>
      <c r="LV10" s="201"/>
      <c r="LW10" s="201"/>
      <c r="LX10" s="201"/>
      <c r="LY10" s="201"/>
      <c r="LZ10" s="201"/>
      <c r="MA10" s="201"/>
      <c r="MB10" s="201"/>
      <c r="MC10" s="201"/>
      <c r="MD10" s="201"/>
      <c r="ME10" s="201"/>
      <c r="MF10" s="201"/>
      <c r="MG10" s="201"/>
      <c r="MH10" s="201"/>
      <c r="MI10" s="201"/>
      <c r="MJ10" s="201"/>
      <c r="MK10" s="201"/>
      <c r="ML10" s="201"/>
      <c r="MM10" s="201"/>
      <c r="MN10" s="201"/>
      <c r="MO10" s="201"/>
      <c r="MP10" s="201"/>
      <c r="MQ10" s="201"/>
      <c r="MR10" s="201"/>
      <c r="MS10" s="201"/>
      <c r="MT10" s="201"/>
      <c r="MU10" s="201"/>
      <c r="MV10" s="201"/>
      <c r="MW10" s="201"/>
      <c r="MX10" s="201"/>
      <c r="MY10" s="201"/>
      <c r="MZ10" s="201"/>
      <c r="NA10" s="201"/>
      <c r="NB10" s="201"/>
      <c r="NC10" s="201"/>
      <c r="ND10" s="201"/>
      <c r="NE10" s="201"/>
      <c r="NF10" s="201"/>
      <c r="NG10" s="201"/>
      <c r="NH10" s="201"/>
      <c r="NI10" s="201"/>
      <c r="NJ10" s="201"/>
      <c r="NK10" s="201"/>
      <c r="NL10" s="201"/>
      <c r="NM10" s="201"/>
      <c r="NN10" s="201"/>
      <c r="NO10" s="201"/>
      <c r="NP10" s="201"/>
      <c r="NQ10" s="201"/>
      <c r="NR10" s="201"/>
      <c r="NS10" s="201"/>
      <c r="NT10" s="201"/>
      <c r="NU10" s="201"/>
      <c r="NV10" s="201"/>
      <c r="NW10" s="201"/>
      <c r="NX10" s="201"/>
      <c r="NY10" s="201"/>
      <c r="NZ10" s="201"/>
      <c r="OA10" s="201"/>
      <c r="OB10" s="201"/>
      <c r="OC10" s="201"/>
      <c r="OD10" s="201"/>
      <c r="OE10" s="201"/>
      <c r="OF10" s="201"/>
      <c r="OG10" s="201"/>
      <c r="OH10" s="201"/>
      <c r="OI10" s="201"/>
      <c r="OJ10" s="201"/>
      <c r="OK10" s="201"/>
      <c r="OL10" s="201"/>
      <c r="OM10" s="201"/>
      <c r="ON10" s="201"/>
      <c r="OO10" s="201"/>
      <c r="OP10" s="201"/>
      <c r="OQ10" s="201"/>
      <c r="OR10" s="201"/>
      <c r="OS10" s="201"/>
      <c r="OT10" s="201"/>
      <c r="OU10" s="201"/>
      <c r="OV10" s="201"/>
      <c r="OW10" s="201"/>
      <c r="OX10" s="201"/>
      <c r="OY10" s="201"/>
      <c r="OZ10" s="201"/>
      <c r="PA10" s="201"/>
      <c r="PB10" s="201"/>
      <c r="PC10" s="201"/>
      <c r="PD10" s="201"/>
      <c r="PE10" s="201"/>
      <c r="PF10" s="201"/>
      <c r="PG10" s="201"/>
      <c r="PH10" s="201"/>
      <c r="PI10" s="201"/>
      <c r="PJ10" s="201"/>
      <c r="PK10" s="201"/>
      <c r="PL10" s="201"/>
      <c r="PM10" s="201"/>
      <c r="PN10" s="201"/>
      <c r="PO10" s="201"/>
      <c r="PP10" s="201"/>
      <c r="PQ10" s="201"/>
      <c r="PR10" s="201"/>
      <c r="PS10" s="201"/>
      <c r="PT10" s="201"/>
      <c r="PU10" s="201"/>
      <c r="PV10" s="201"/>
      <c r="PW10" s="201"/>
      <c r="PX10" s="201"/>
      <c r="PY10" s="201"/>
      <c r="PZ10" s="201"/>
      <c r="QA10" s="201"/>
      <c r="QB10" s="201"/>
      <c r="QC10" s="201"/>
      <c r="QD10" s="201"/>
      <c r="QE10" s="201"/>
      <c r="QF10" s="201"/>
      <c r="QG10" s="201"/>
      <c r="QH10" s="201"/>
      <c r="QI10" s="201"/>
      <c r="QJ10" s="201"/>
      <c r="QK10" s="201"/>
      <c r="QL10" s="201"/>
      <c r="QM10" s="201"/>
      <c r="QN10" s="201"/>
      <c r="QO10" s="201"/>
      <c r="QP10" s="201"/>
      <c r="QQ10" s="201"/>
      <c r="QR10" s="201"/>
      <c r="QS10" s="201"/>
      <c r="QT10" s="201"/>
      <c r="QU10" s="201"/>
      <c r="QV10" s="201"/>
      <c r="QW10" s="201"/>
      <c r="QX10" s="201"/>
      <c r="QY10" s="201"/>
      <c r="QZ10" s="201"/>
      <c r="RA10" s="201"/>
      <c r="RB10" s="201"/>
      <c r="RC10" s="201"/>
      <c r="RD10" s="201"/>
      <c r="RE10" s="201"/>
      <c r="RF10" s="201"/>
      <c r="RG10" s="201"/>
      <c r="RH10" s="201"/>
      <c r="RI10" s="201"/>
      <c r="RJ10" s="201"/>
      <c r="RK10" s="201"/>
      <c r="RL10" s="201"/>
      <c r="RM10" s="201"/>
      <c r="RN10" s="201"/>
      <c r="RO10" s="201"/>
      <c r="RP10" s="201"/>
      <c r="RQ10" s="201"/>
      <c r="RR10" s="201"/>
      <c r="RS10" s="201"/>
      <c r="RT10" s="201"/>
      <c r="RU10" s="201"/>
      <c r="RV10" s="201"/>
      <c r="RW10" s="201"/>
      <c r="RX10" s="201"/>
      <c r="RY10" s="201"/>
      <c r="RZ10" s="201"/>
      <c r="SA10" s="201"/>
      <c r="SB10" s="201"/>
      <c r="SC10" s="201"/>
      <c r="SD10" s="201"/>
      <c r="SE10" s="201"/>
      <c r="SF10" s="201"/>
      <c r="SG10" s="201"/>
      <c r="SH10" s="201"/>
      <c r="SI10" s="201"/>
      <c r="SJ10" s="201"/>
      <c r="SK10" s="201"/>
      <c r="SL10" s="201"/>
      <c r="SM10" s="201"/>
      <c r="SN10" s="201"/>
      <c r="SO10" s="201"/>
      <c r="SP10" s="201"/>
      <c r="SQ10" s="201"/>
      <c r="SR10" s="201"/>
      <c r="SS10" s="201"/>
      <c r="ST10" s="201"/>
      <c r="SU10" s="201"/>
      <c r="SV10" s="201"/>
      <c r="SW10" s="201"/>
      <c r="SX10" s="201"/>
      <c r="SY10" s="201"/>
      <c r="SZ10" s="201"/>
      <c r="TA10" s="201"/>
      <c r="TB10" s="201"/>
      <c r="TC10" s="201"/>
      <c r="TD10" s="201"/>
      <c r="TE10" s="201"/>
      <c r="TF10" s="201"/>
      <c r="TG10" s="201"/>
      <c r="TH10" s="201"/>
      <c r="TI10" s="201"/>
      <c r="TJ10" s="201"/>
      <c r="TK10" s="201"/>
      <c r="TL10" s="201"/>
      <c r="TM10" s="201"/>
      <c r="TN10" s="201"/>
      <c r="TO10" s="201"/>
      <c r="TP10" s="201"/>
      <c r="TQ10" s="201"/>
      <c r="TR10" s="201"/>
      <c r="TS10" s="201"/>
      <c r="TT10" s="201"/>
      <c r="TU10" s="201"/>
      <c r="TV10" s="201"/>
      <c r="TW10" s="201"/>
      <c r="TX10" s="201"/>
      <c r="TY10" s="201"/>
      <c r="TZ10" s="201"/>
      <c r="UA10" s="201"/>
      <c r="UB10" s="201"/>
      <c r="UC10" s="201"/>
      <c r="UD10" s="201"/>
      <c r="UE10" s="201"/>
      <c r="UF10" s="201"/>
      <c r="UG10" s="201"/>
      <c r="UH10" s="201"/>
      <c r="UI10" s="201"/>
      <c r="UJ10" s="201"/>
      <c r="UK10" s="201"/>
      <c r="UL10" s="201"/>
      <c r="UM10" s="201"/>
      <c r="UN10" s="201"/>
      <c r="UO10" s="201"/>
      <c r="UP10" s="201"/>
      <c r="UQ10" s="201"/>
      <c r="UR10" s="201"/>
      <c r="US10" s="201"/>
      <c r="UT10" s="201"/>
      <c r="UU10" s="201"/>
      <c r="UV10" s="201"/>
      <c r="UW10" s="201"/>
      <c r="UX10" s="201"/>
      <c r="UY10" s="201"/>
      <c r="UZ10" s="201"/>
      <c r="VA10" s="201"/>
      <c r="VB10" s="201"/>
      <c r="VC10" s="201"/>
      <c r="VD10" s="201"/>
      <c r="VE10" s="201"/>
      <c r="VF10" s="201"/>
      <c r="VG10" s="201"/>
      <c r="VH10" s="201"/>
      <c r="VI10" s="201"/>
      <c r="VJ10" s="201"/>
      <c r="VK10" s="201"/>
      <c r="VL10" s="201"/>
      <c r="VM10" s="201"/>
      <c r="VN10" s="201"/>
      <c r="VO10" s="201"/>
      <c r="VP10" s="201"/>
      <c r="VQ10" s="201"/>
      <c r="VR10" s="201"/>
      <c r="VS10" s="201"/>
      <c r="VT10" s="201"/>
      <c r="VU10" s="201"/>
      <c r="VV10" s="201"/>
      <c r="VW10" s="201"/>
      <c r="VX10" s="201"/>
      <c r="VY10" s="201"/>
      <c r="VZ10" s="201"/>
      <c r="WA10" s="201"/>
      <c r="WB10" s="201"/>
      <c r="WC10" s="201"/>
      <c r="WD10" s="201"/>
      <c r="WE10" s="201"/>
      <c r="WF10" s="201"/>
      <c r="WG10" s="201"/>
      <c r="WH10" s="201"/>
      <c r="WI10" s="201"/>
      <c r="WJ10" s="201"/>
      <c r="WK10" s="201"/>
      <c r="WL10" s="201"/>
      <c r="WM10" s="201"/>
      <c r="WN10" s="201"/>
      <c r="WO10" s="201"/>
      <c r="WP10" s="201"/>
      <c r="WQ10" s="201"/>
      <c r="WR10" s="201"/>
      <c r="WS10" s="201"/>
      <c r="WT10" s="201"/>
      <c r="WU10" s="201"/>
      <c r="WV10" s="201"/>
      <c r="WW10" s="201"/>
      <c r="WX10" s="201"/>
      <c r="WY10" s="201"/>
      <c r="WZ10" s="201"/>
      <c r="XA10" s="201"/>
      <c r="XB10" s="201"/>
      <c r="XC10" s="201"/>
      <c r="XD10" s="201"/>
      <c r="XE10" s="201"/>
      <c r="XF10" s="201"/>
      <c r="XG10" s="201"/>
      <c r="XH10" s="201"/>
      <c r="XI10" s="201"/>
      <c r="XJ10" s="201"/>
      <c r="XK10" s="201"/>
      <c r="XL10" s="201"/>
      <c r="XM10" s="201"/>
      <c r="XN10" s="201"/>
      <c r="XO10" s="201"/>
      <c r="XP10" s="201"/>
      <c r="XQ10" s="201"/>
      <c r="XR10" s="201"/>
      <c r="XS10" s="201"/>
      <c r="XT10" s="201"/>
      <c r="XU10" s="201"/>
      <c r="XV10" s="201"/>
      <c r="XW10" s="201"/>
      <c r="XX10" s="201"/>
      <c r="XY10" s="201"/>
      <c r="XZ10" s="201"/>
      <c r="YA10" s="201"/>
      <c r="YB10" s="201"/>
      <c r="YC10" s="201"/>
      <c r="YD10" s="201"/>
      <c r="YE10" s="201"/>
      <c r="YF10" s="201"/>
      <c r="YG10" s="201"/>
      <c r="YH10" s="201"/>
      <c r="YI10" s="201"/>
      <c r="YJ10" s="201"/>
      <c r="YK10" s="201"/>
      <c r="YL10" s="201"/>
      <c r="YM10" s="201"/>
      <c r="YN10" s="201"/>
      <c r="YO10" s="201"/>
      <c r="YP10" s="201"/>
      <c r="YQ10" s="201"/>
      <c r="YR10" s="201"/>
      <c r="YS10" s="201"/>
      <c r="YT10" s="201"/>
      <c r="YU10" s="201"/>
      <c r="YV10" s="201"/>
      <c r="YW10" s="201"/>
      <c r="YX10" s="201"/>
      <c r="YY10" s="201"/>
      <c r="YZ10" s="201"/>
      <c r="ZA10" s="201"/>
      <c r="ZB10" s="201"/>
      <c r="ZC10" s="201"/>
      <c r="ZD10" s="201"/>
      <c r="ZE10" s="201"/>
      <c r="ZF10" s="201"/>
      <c r="ZG10" s="201"/>
      <c r="ZH10" s="201"/>
      <c r="ZI10" s="201"/>
      <c r="ZJ10" s="201"/>
      <c r="ZK10" s="201"/>
      <c r="ZL10" s="201"/>
      <c r="ZM10" s="201"/>
      <c r="ZN10" s="201"/>
      <c r="ZO10" s="201"/>
      <c r="ZP10" s="201"/>
      <c r="ZQ10" s="201"/>
      <c r="ZR10" s="201"/>
      <c r="ZS10" s="201"/>
      <c r="ZT10" s="201"/>
      <c r="ZU10" s="201"/>
      <c r="ZV10" s="201"/>
      <c r="ZW10" s="201"/>
    </row>
    <row r="11" spans="1:699" s="214" customFormat="1" ht="15.75" customHeight="1" x14ac:dyDescent="0.2">
      <c r="A11" s="42"/>
      <c r="B11" s="215" t="s">
        <v>191</v>
      </c>
      <c r="C11" s="216">
        <v>2015</v>
      </c>
      <c r="D11" s="216">
        <v>2016</v>
      </c>
      <c r="E11" s="217">
        <v>2017</v>
      </c>
      <c r="F11" s="218"/>
      <c r="G11" s="61"/>
      <c r="H11" s="200" t="s">
        <v>19</v>
      </c>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1"/>
      <c r="CB11" s="201"/>
      <c r="CC11" s="201"/>
      <c r="CD11" s="201"/>
      <c r="CE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E11" s="201"/>
      <c r="DF11" s="201"/>
      <c r="DG11" s="201"/>
      <c r="DH11" s="201"/>
      <c r="DI11" s="201"/>
      <c r="DJ11" s="201"/>
      <c r="DK11" s="201"/>
      <c r="DL11" s="201"/>
      <c r="DM11" s="201"/>
      <c r="DN11" s="201"/>
      <c r="DO11" s="201"/>
      <c r="DP11" s="201"/>
      <c r="DQ11" s="201"/>
      <c r="DR11" s="201"/>
      <c r="DS11" s="201"/>
      <c r="DT11" s="201"/>
      <c r="DU11" s="201"/>
      <c r="DV11" s="201"/>
      <c r="DW11" s="201"/>
      <c r="DX11" s="201"/>
      <c r="DY11" s="201"/>
      <c r="DZ11" s="201"/>
      <c r="EA11" s="201"/>
      <c r="EB11" s="201"/>
      <c r="EC11" s="201"/>
      <c r="ED11" s="201"/>
      <c r="EE11" s="201"/>
      <c r="EF11" s="201"/>
      <c r="EG11" s="201"/>
      <c r="EH11" s="201"/>
      <c r="EI11" s="201"/>
      <c r="EJ11" s="201"/>
      <c r="EK11" s="201"/>
      <c r="EL11" s="201"/>
      <c r="EM11" s="201"/>
      <c r="EN11" s="201"/>
      <c r="EO11" s="201"/>
      <c r="EP11" s="201"/>
      <c r="EQ11" s="201"/>
      <c r="ER11" s="201"/>
      <c r="ES11" s="201"/>
      <c r="ET11" s="201"/>
      <c r="EU11" s="201"/>
      <c r="EV11" s="201"/>
      <c r="EW11" s="201"/>
      <c r="EX11" s="201"/>
      <c r="EY11" s="201"/>
      <c r="EZ11" s="201"/>
      <c r="FA11" s="201"/>
      <c r="FB11" s="201"/>
      <c r="FC11" s="201"/>
      <c r="FD11" s="201"/>
      <c r="FE11" s="201"/>
      <c r="FF11" s="201"/>
      <c r="FG11" s="201"/>
      <c r="FH11" s="201"/>
      <c r="FI11" s="201"/>
      <c r="FJ11" s="201"/>
      <c r="FK11" s="201"/>
      <c r="FL11" s="201"/>
      <c r="FM11" s="201"/>
      <c r="FN11" s="201"/>
      <c r="FO11" s="201"/>
      <c r="FP11" s="201"/>
      <c r="FQ11" s="201"/>
      <c r="FR11" s="201"/>
      <c r="FS11" s="201"/>
      <c r="FT11" s="201"/>
      <c r="FU11" s="201"/>
      <c r="FV11" s="201"/>
      <c r="FW11" s="201"/>
      <c r="FX11" s="201"/>
      <c r="FY11" s="201"/>
      <c r="FZ11" s="201"/>
      <c r="GA11" s="201"/>
      <c r="GB11" s="201"/>
      <c r="GC11" s="201"/>
      <c r="GD11" s="201"/>
      <c r="GE11" s="201"/>
      <c r="GF11" s="201"/>
      <c r="GG11" s="201"/>
      <c r="GH11" s="201"/>
      <c r="GI11" s="201"/>
      <c r="GJ11" s="201"/>
      <c r="GK11" s="201"/>
      <c r="GL11" s="201"/>
      <c r="GM11" s="201"/>
      <c r="GN11" s="201"/>
      <c r="GO11" s="201"/>
      <c r="GP11" s="201"/>
      <c r="GQ11" s="201"/>
      <c r="GR11" s="201"/>
      <c r="GS11" s="201"/>
      <c r="GT11" s="201"/>
      <c r="GU11" s="201"/>
      <c r="GV11" s="201"/>
      <c r="GW11" s="201"/>
      <c r="GX11" s="201"/>
      <c r="GY11" s="201"/>
      <c r="GZ11" s="201"/>
      <c r="HA11" s="201"/>
      <c r="HB11" s="201"/>
      <c r="HC11" s="201"/>
      <c r="HD11" s="201"/>
      <c r="HE11" s="201"/>
      <c r="HF11" s="201"/>
      <c r="HG11" s="201"/>
      <c r="HH11" s="201"/>
      <c r="HI11" s="201"/>
      <c r="HJ11" s="201"/>
      <c r="HK11" s="201"/>
      <c r="HL11" s="201"/>
      <c r="HM11" s="201"/>
      <c r="HN11" s="201"/>
      <c r="HO11" s="201"/>
      <c r="HP11" s="201"/>
      <c r="HQ11" s="201"/>
      <c r="HR11" s="201"/>
      <c r="HS11" s="201"/>
      <c r="HT11" s="201"/>
      <c r="HU11" s="201"/>
      <c r="HV11" s="201"/>
      <c r="HW11" s="201"/>
      <c r="HX11" s="201"/>
      <c r="HY11" s="201"/>
      <c r="HZ11" s="201"/>
      <c r="IA11" s="201"/>
      <c r="IB11" s="201"/>
      <c r="IC11" s="201"/>
      <c r="ID11" s="201"/>
      <c r="IE11" s="201"/>
      <c r="IF11" s="201"/>
      <c r="IG11" s="201"/>
      <c r="IH11" s="201"/>
      <c r="II11" s="201"/>
      <c r="IJ11" s="201"/>
      <c r="IK11" s="201"/>
      <c r="IL11" s="201"/>
      <c r="IM11" s="201"/>
      <c r="IN11" s="201"/>
      <c r="IO11" s="201"/>
      <c r="IP11" s="201"/>
      <c r="IQ11" s="201"/>
      <c r="IR11" s="201"/>
      <c r="IS11" s="201"/>
      <c r="IT11" s="201"/>
      <c r="IU11" s="201"/>
      <c r="IV11" s="201"/>
      <c r="IW11" s="201"/>
      <c r="IX11" s="201"/>
      <c r="IY11" s="201"/>
      <c r="IZ11" s="201"/>
      <c r="JA11" s="201"/>
      <c r="JB11" s="201"/>
      <c r="JC11" s="201"/>
      <c r="JD11" s="201"/>
      <c r="JE11" s="201"/>
      <c r="JF11" s="201"/>
      <c r="JG11" s="201"/>
      <c r="JH11" s="201"/>
      <c r="JI11" s="201"/>
      <c r="JJ11" s="201"/>
      <c r="JK11" s="201"/>
      <c r="JL11" s="201"/>
      <c r="JM11" s="201"/>
      <c r="JN11" s="201"/>
      <c r="JO11" s="201"/>
      <c r="JP11" s="201"/>
      <c r="JQ11" s="201"/>
      <c r="JR11" s="201"/>
      <c r="JS11" s="201"/>
      <c r="JT11" s="201"/>
      <c r="JU11" s="201"/>
      <c r="JV11" s="201"/>
      <c r="JW11" s="201"/>
      <c r="JX11" s="201"/>
      <c r="JY11" s="201"/>
      <c r="JZ11" s="201"/>
      <c r="KA11" s="201"/>
      <c r="KB11" s="201"/>
      <c r="KC11" s="201"/>
      <c r="KD11" s="201"/>
      <c r="KE11" s="201"/>
      <c r="KF11" s="201"/>
      <c r="KG11" s="201"/>
      <c r="KH11" s="201"/>
      <c r="KI11" s="201"/>
      <c r="KJ11" s="201"/>
      <c r="KK11" s="201"/>
      <c r="KL11" s="201"/>
      <c r="KM11" s="201"/>
      <c r="KN11" s="201"/>
      <c r="KO11" s="201"/>
      <c r="KP11" s="201"/>
      <c r="KQ11" s="201"/>
      <c r="KR11" s="201"/>
      <c r="KS11" s="201"/>
      <c r="KT11" s="201"/>
      <c r="KU11" s="201"/>
      <c r="KV11" s="201"/>
      <c r="KW11" s="201"/>
      <c r="KX11" s="201"/>
      <c r="KY11" s="201"/>
      <c r="KZ11" s="201"/>
      <c r="LA11" s="201"/>
      <c r="LB11" s="201"/>
      <c r="LC11" s="201"/>
      <c r="LD11" s="201"/>
      <c r="LE11" s="201"/>
      <c r="LF11" s="201"/>
      <c r="LG11" s="201"/>
      <c r="LH11" s="201"/>
      <c r="LI11" s="201"/>
      <c r="LJ11" s="201"/>
      <c r="LK11" s="201"/>
      <c r="LL11" s="201"/>
      <c r="LM11" s="201"/>
      <c r="LN11" s="201"/>
      <c r="LO11" s="201"/>
      <c r="LP11" s="201"/>
      <c r="LQ11" s="201"/>
      <c r="LR11" s="201"/>
      <c r="LS11" s="201"/>
      <c r="LT11" s="201"/>
      <c r="LU11" s="201"/>
      <c r="LV11" s="201"/>
      <c r="LW11" s="201"/>
      <c r="LX11" s="201"/>
      <c r="LY11" s="201"/>
      <c r="LZ11" s="201"/>
      <c r="MA11" s="201"/>
      <c r="MB11" s="201"/>
      <c r="MC11" s="201"/>
      <c r="MD11" s="201"/>
      <c r="ME11" s="201"/>
      <c r="MF11" s="201"/>
      <c r="MG11" s="201"/>
      <c r="MH11" s="201"/>
      <c r="MI11" s="201"/>
      <c r="MJ11" s="201"/>
      <c r="MK11" s="201"/>
      <c r="ML11" s="201"/>
      <c r="MM11" s="201"/>
      <c r="MN11" s="201"/>
      <c r="MO11" s="201"/>
      <c r="MP11" s="201"/>
      <c r="MQ11" s="201"/>
      <c r="MR11" s="201"/>
      <c r="MS11" s="201"/>
      <c r="MT11" s="201"/>
      <c r="MU11" s="201"/>
      <c r="MV11" s="201"/>
      <c r="MW11" s="201"/>
      <c r="MX11" s="201"/>
      <c r="MY11" s="201"/>
      <c r="MZ11" s="201"/>
      <c r="NA11" s="201"/>
      <c r="NB11" s="201"/>
      <c r="NC11" s="201"/>
      <c r="ND11" s="201"/>
      <c r="NE11" s="201"/>
      <c r="NF11" s="201"/>
      <c r="NG11" s="201"/>
      <c r="NH11" s="201"/>
      <c r="NI11" s="201"/>
      <c r="NJ11" s="201"/>
      <c r="NK11" s="201"/>
      <c r="NL11" s="201"/>
      <c r="NM11" s="201"/>
      <c r="NN11" s="201"/>
      <c r="NO11" s="201"/>
      <c r="NP11" s="201"/>
      <c r="NQ11" s="201"/>
      <c r="NR11" s="201"/>
      <c r="NS11" s="201"/>
      <c r="NT11" s="201"/>
      <c r="NU11" s="201"/>
      <c r="NV11" s="201"/>
      <c r="NW11" s="201"/>
      <c r="NX11" s="201"/>
      <c r="NY11" s="201"/>
      <c r="NZ11" s="201"/>
      <c r="OA11" s="201"/>
      <c r="OB11" s="201"/>
      <c r="OC11" s="201"/>
      <c r="OD11" s="201"/>
      <c r="OE11" s="201"/>
      <c r="OF11" s="201"/>
      <c r="OG11" s="201"/>
      <c r="OH11" s="201"/>
      <c r="OI11" s="201"/>
      <c r="OJ11" s="201"/>
      <c r="OK11" s="201"/>
      <c r="OL11" s="201"/>
      <c r="OM11" s="201"/>
      <c r="ON11" s="201"/>
      <c r="OO11" s="201"/>
      <c r="OP11" s="201"/>
      <c r="OQ11" s="201"/>
      <c r="OR11" s="201"/>
      <c r="OS11" s="201"/>
      <c r="OT11" s="201"/>
      <c r="OU11" s="201"/>
      <c r="OV11" s="201"/>
      <c r="OW11" s="201"/>
      <c r="OX11" s="201"/>
      <c r="OY11" s="201"/>
      <c r="OZ11" s="201"/>
      <c r="PA11" s="201"/>
      <c r="PB11" s="201"/>
      <c r="PC11" s="201"/>
      <c r="PD11" s="201"/>
      <c r="PE11" s="201"/>
      <c r="PF11" s="201"/>
      <c r="PG11" s="201"/>
      <c r="PH11" s="201"/>
      <c r="PI11" s="201"/>
      <c r="PJ11" s="201"/>
      <c r="PK11" s="201"/>
      <c r="PL11" s="201"/>
      <c r="PM11" s="201"/>
      <c r="PN11" s="201"/>
      <c r="PO11" s="201"/>
      <c r="PP11" s="201"/>
      <c r="PQ11" s="201"/>
      <c r="PR11" s="201"/>
      <c r="PS11" s="201"/>
      <c r="PT11" s="201"/>
      <c r="PU11" s="201"/>
      <c r="PV11" s="201"/>
      <c r="PW11" s="201"/>
      <c r="PX11" s="201"/>
      <c r="PY11" s="201"/>
      <c r="PZ11" s="201"/>
      <c r="QA11" s="201"/>
      <c r="QB11" s="201"/>
      <c r="QC11" s="201"/>
      <c r="QD11" s="201"/>
      <c r="QE11" s="201"/>
      <c r="QF11" s="201"/>
      <c r="QG11" s="201"/>
      <c r="QH11" s="201"/>
      <c r="QI11" s="201"/>
      <c r="QJ11" s="201"/>
      <c r="QK11" s="201"/>
      <c r="QL11" s="201"/>
      <c r="QM11" s="201"/>
      <c r="QN11" s="201"/>
      <c r="QO11" s="201"/>
      <c r="QP11" s="201"/>
      <c r="QQ11" s="201"/>
      <c r="QR11" s="201"/>
      <c r="QS11" s="201"/>
      <c r="QT11" s="201"/>
      <c r="QU11" s="201"/>
      <c r="QV11" s="201"/>
      <c r="QW11" s="201"/>
      <c r="QX11" s="201"/>
      <c r="QY11" s="201"/>
      <c r="QZ11" s="201"/>
      <c r="RA11" s="201"/>
      <c r="RB11" s="201"/>
      <c r="RC11" s="201"/>
      <c r="RD11" s="201"/>
      <c r="RE11" s="201"/>
      <c r="RF11" s="201"/>
      <c r="RG11" s="201"/>
      <c r="RH11" s="201"/>
      <c r="RI11" s="201"/>
      <c r="RJ11" s="201"/>
      <c r="RK11" s="201"/>
      <c r="RL11" s="201"/>
      <c r="RM11" s="201"/>
      <c r="RN11" s="201"/>
      <c r="RO11" s="201"/>
      <c r="RP11" s="201"/>
      <c r="RQ11" s="201"/>
      <c r="RR11" s="201"/>
      <c r="RS11" s="201"/>
      <c r="RT11" s="201"/>
      <c r="RU11" s="201"/>
      <c r="RV11" s="201"/>
      <c r="RW11" s="201"/>
      <c r="RX11" s="201"/>
      <c r="RY11" s="201"/>
      <c r="RZ11" s="201"/>
      <c r="SA11" s="201"/>
      <c r="SB11" s="201"/>
      <c r="SC11" s="201"/>
      <c r="SD11" s="201"/>
      <c r="SE11" s="201"/>
      <c r="SF11" s="201"/>
      <c r="SG11" s="201"/>
      <c r="SH11" s="201"/>
      <c r="SI11" s="201"/>
      <c r="SJ11" s="201"/>
      <c r="SK11" s="201"/>
      <c r="SL11" s="201"/>
      <c r="SM11" s="201"/>
      <c r="SN11" s="201"/>
      <c r="SO11" s="201"/>
      <c r="SP11" s="201"/>
      <c r="SQ11" s="201"/>
      <c r="SR11" s="201"/>
      <c r="SS11" s="201"/>
      <c r="ST11" s="201"/>
      <c r="SU11" s="201"/>
      <c r="SV11" s="201"/>
      <c r="SW11" s="201"/>
      <c r="SX11" s="201"/>
      <c r="SY11" s="201"/>
      <c r="SZ11" s="201"/>
      <c r="TA11" s="201"/>
      <c r="TB11" s="201"/>
      <c r="TC11" s="201"/>
      <c r="TD11" s="201"/>
      <c r="TE11" s="201"/>
      <c r="TF11" s="201"/>
      <c r="TG11" s="201"/>
      <c r="TH11" s="201"/>
      <c r="TI11" s="201"/>
      <c r="TJ11" s="201"/>
      <c r="TK11" s="201"/>
      <c r="TL11" s="201"/>
      <c r="TM11" s="201"/>
      <c r="TN11" s="201"/>
      <c r="TO11" s="201"/>
      <c r="TP11" s="201"/>
      <c r="TQ11" s="201"/>
      <c r="TR11" s="201"/>
      <c r="TS11" s="201"/>
      <c r="TT11" s="201"/>
      <c r="TU11" s="201"/>
      <c r="TV11" s="201"/>
      <c r="TW11" s="201"/>
      <c r="TX11" s="201"/>
      <c r="TY11" s="201"/>
      <c r="TZ11" s="201"/>
      <c r="UA11" s="201"/>
      <c r="UB11" s="201"/>
      <c r="UC11" s="201"/>
      <c r="UD11" s="201"/>
      <c r="UE11" s="201"/>
      <c r="UF11" s="201"/>
      <c r="UG11" s="201"/>
      <c r="UH11" s="201"/>
      <c r="UI11" s="201"/>
      <c r="UJ11" s="201"/>
      <c r="UK11" s="201"/>
      <c r="UL11" s="201"/>
      <c r="UM11" s="201"/>
      <c r="UN11" s="201"/>
      <c r="UO11" s="201"/>
      <c r="UP11" s="201"/>
      <c r="UQ11" s="201"/>
      <c r="UR11" s="201"/>
      <c r="US11" s="201"/>
      <c r="UT11" s="201"/>
      <c r="UU11" s="201"/>
      <c r="UV11" s="201"/>
      <c r="UW11" s="201"/>
      <c r="UX11" s="201"/>
      <c r="UY11" s="201"/>
      <c r="UZ11" s="201"/>
      <c r="VA11" s="201"/>
      <c r="VB11" s="201"/>
      <c r="VC11" s="201"/>
      <c r="VD11" s="201"/>
      <c r="VE11" s="201"/>
      <c r="VF11" s="201"/>
      <c r="VG11" s="201"/>
      <c r="VH11" s="201"/>
      <c r="VI11" s="201"/>
      <c r="VJ11" s="201"/>
      <c r="VK11" s="201"/>
      <c r="VL11" s="201"/>
      <c r="VM11" s="201"/>
      <c r="VN11" s="201"/>
      <c r="VO11" s="201"/>
      <c r="VP11" s="201"/>
      <c r="VQ11" s="201"/>
      <c r="VR11" s="201"/>
      <c r="VS11" s="201"/>
      <c r="VT11" s="201"/>
      <c r="VU11" s="201"/>
      <c r="VV11" s="201"/>
      <c r="VW11" s="201"/>
      <c r="VX11" s="201"/>
      <c r="VY11" s="201"/>
      <c r="VZ11" s="201"/>
      <c r="WA11" s="201"/>
      <c r="WB11" s="201"/>
      <c r="WC11" s="201"/>
      <c r="WD11" s="201"/>
      <c r="WE11" s="201"/>
      <c r="WF11" s="201"/>
      <c r="WG11" s="201"/>
      <c r="WH11" s="201"/>
      <c r="WI11" s="201"/>
      <c r="WJ11" s="201"/>
      <c r="WK11" s="201"/>
      <c r="WL11" s="201"/>
      <c r="WM11" s="201"/>
      <c r="WN11" s="201"/>
      <c r="WO11" s="201"/>
      <c r="WP11" s="201"/>
      <c r="WQ11" s="201"/>
      <c r="WR11" s="201"/>
      <c r="WS11" s="201"/>
      <c r="WT11" s="201"/>
      <c r="WU11" s="201"/>
      <c r="WV11" s="201"/>
      <c r="WW11" s="201"/>
      <c r="WX11" s="201"/>
      <c r="WY11" s="201"/>
      <c r="WZ11" s="201"/>
      <c r="XA11" s="201"/>
      <c r="XB11" s="201"/>
      <c r="XC11" s="201"/>
      <c r="XD11" s="201"/>
      <c r="XE11" s="201"/>
      <c r="XF11" s="201"/>
      <c r="XG11" s="201"/>
      <c r="XH11" s="201"/>
      <c r="XI11" s="201"/>
      <c r="XJ11" s="201"/>
      <c r="XK11" s="201"/>
      <c r="XL11" s="201"/>
      <c r="XM11" s="201"/>
      <c r="XN11" s="201"/>
      <c r="XO11" s="201"/>
      <c r="XP11" s="201"/>
      <c r="XQ11" s="201"/>
      <c r="XR11" s="201"/>
      <c r="XS11" s="201"/>
      <c r="XT11" s="201"/>
      <c r="XU11" s="201"/>
      <c r="XV11" s="201"/>
      <c r="XW11" s="201"/>
      <c r="XX11" s="201"/>
      <c r="XY11" s="201"/>
      <c r="XZ11" s="201"/>
      <c r="YA11" s="201"/>
      <c r="YB11" s="201"/>
      <c r="YC11" s="201"/>
      <c r="YD11" s="201"/>
      <c r="YE11" s="201"/>
      <c r="YF11" s="201"/>
      <c r="YG11" s="201"/>
      <c r="YH11" s="201"/>
      <c r="YI11" s="201"/>
      <c r="YJ11" s="201"/>
      <c r="YK11" s="201"/>
      <c r="YL11" s="201"/>
      <c r="YM11" s="201"/>
      <c r="YN11" s="201"/>
      <c r="YO11" s="201"/>
      <c r="YP11" s="201"/>
      <c r="YQ11" s="201"/>
      <c r="YR11" s="201"/>
      <c r="YS11" s="201"/>
      <c r="YT11" s="201"/>
      <c r="YU11" s="201"/>
      <c r="YV11" s="201"/>
      <c r="YW11" s="201"/>
      <c r="YX11" s="201"/>
      <c r="YY11" s="201"/>
      <c r="YZ11" s="201"/>
      <c r="ZA11" s="201"/>
      <c r="ZB11" s="201"/>
      <c r="ZC11" s="201"/>
      <c r="ZD11" s="201"/>
      <c r="ZE11" s="201"/>
      <c r="ZF11" s="201"/>
      <c r="ZG11" s="201"/>
      <c r="ZH11" s="201"/>
      <c r="ZI11" s="201"/>
      <c r="ZJ11" s="201"/>
      <c r="ZK11" s="201"/>
      <c r="ZL11" s="201"/>
      <c r="ZM11" s="201"/>
      <c r="ZN11" s="201"/>
      <c r="ZO11" s="201"/>
      <c r="ZP11" s="201"/>
      <c r="ZQ11" s="201"/>
      <c r="ZR11" s="201"/>
      <c r="ZS11" s="201"/>
      <c r="ZT11" s="201"/>
      <c r="ZU11" s="201"/>
      <c r="ZV11" s="201"/>
      <c r="ZW11" s="201"/>
    </row>
    <row r="12" spans="1:699" s="214" customFormat="1" ht="15.75" customHeight="1" thickBot="1" x14ac:dyDescent="0.25">
      <c r="A12" s="42"/>
      <c r="B12" s="219" t="s">
        <v>196</v>
      </c>
      <c r="C12" s="220">
        <v>2500000</v>
      </c>
      <c r="D12" s="220">
        <v>3100000</v>
      </c>
      <c r="E12" s="221">
        <v>2100000</v>
      </c>
      <c r="F12" s="218"/>
      <c r="G12" s="61"/>
      <c r="H12" s="200" t="s">
        <v>282</v>
      </c>
      <c r="I12" s="277" t="s">
        <v>193</v>
      </c>
      <c r="J12" s="200" t="s">
        <v>166</v>
      </c>
      <c r="K12" s="200" t="s">
        <v>283</v>
      </c>
      <c r="L12" s="200" t="s">
        <v>284</v>
      </c>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E12" s="201"/>
      <c r="DF12" s="201"/>
      <c r="DG12" s="201"/>
      <c r="DH12" s="201"/>
      <c r="DI12" s="201"/>
      <c r="DJ12" s="201"/>
      <c r="DK12" s="201"/>
      <c r="DL12" s="201"/>
      <c r="DM12" s="201"/>
      <c r="DN12" s="201"/>
      <c r="DO12" s="201"/>
      <c r="DP12" s="201"/>
      <c r="DQ12" s="201"/>
      <c r="DR12" s="201"/>
      <c r="DS12" s="201"/>
      <c r="DT12" s="201"/>
      <c r="DU12" s="201"/>
      <c r="DV12" s="201"/>
      <c r="DW12" s="201"/>
      <c r="DX12" s="201"/>
      <c r="DY12" s="201"/>
      <c r="DZ12" s="201"/>
      <c r="EA12" s="201"/>
      <c r="EB12" s="201"/>
      <c r="EC12" s="201"/>
      <c r="ED12" s="201"/>
      <c r="EE12" s="201"/>
      <c r="EF12" s="201"/>
      <c r="EG12" s="201"/>
      <c r="EH12" s="201"/>
      <c r="EI12" s="201"/>
      <c r="EJ12" s="201"/>
      <c r="EK12" s="201"/>
      <c r="EL12" s="201"/>
      <c r="EM12" s="201"/>
      <c r="EN12" s="201"/>
      <c r="EO12" s="201"/>
      <c r="EP12" s="201"/>
      <c r="EQ12" s="201"/>
      <c r="ER12" s="201"/>
      <c r="ES12" s="201"/>
      <c r="ET12" s="201"/>
      <c r="EU12" s="201"/>
      <c r="EV12" s="201"/>
      <c r="EW12" s="201"/>
      <c r="EX12" s="201"/>
      <c r="EY12" s="201"/>
      <c r="EZ12" s="201"/>
      <c r="FA12" s="201"/>
      <c r="FB12" s="201"/>
      <c r="FC12" s="201"/>
      <c r="FD12" s="201"/>
      <c r="FE12" s="201"/>
      <c r="FF12" s="201"/>
      <c r="FG12" s="201"/>
      <c r="FH12" s="201"/>
      <c r="FI12" s="201"/>
      <c r="FJ12" s="201"/>
      <c r="FK12" s="201"/>
      <c r="FL12" s="201"/>
      <c r="FM12" s="201"/>
      <c r="FN12" s="201"/>
      <c r="FO12" s="201"/>
      <c r="FP12" s="201"/>
      <c r="FQ12" s="201"/>
      <c r="FR12" s="201"/>
      <c r="FS12" s="201"/>
      <c r="FT12" s="201"/>
      <c r="FU12" s="201"/>
      <c r="FV12" s="201"/>
      <c r="FW12" s="201"/>
      <c r="FX12" s="201"/>
      <c r="FY12" s="201"/>
      <c r="FZ12" s="201"/>
      <c r="GA12" s="201"/>
      <c r="GB12" s="201"/>
      <c r="GC12" s="201"/>
      <c r="GD12" s="201"/>
      <c r="GE12" s="201"/>
      <c r="GF12" s="201"/>
      <c r="GG12" s="201"/>
      <c r="GH12" s="201"/>
      <c r="GI12" s="201"/>
      <c r="GJ12" s="201"/>
      <c r="GK12" s="201"/>
      <c r="GL12" s="201"/>
      <c r="GM12" s="201"/>
      <c r="GN12" s="201"/>
      <c r="GO12" s="201"/>
      <c r="GP12" s="201"/>
      <c r="GQ12" s="201"/>
      <c r="GR12" s="201"/>
      <c r="GS12" s="201"/>
      <c r="GT12" s="201"/>
      <c r="GU12" s="201"/>
      <c r="GV12" s="201"/>
      <c r="GW12" s="201"/>
      <c r="GX12" s="201"/>
      <c r="GY12" s="201"/>
      <c r="GZ12" s="201"/>
      <c r="HA12" s="201"/>
      <c r="HB12" s="201"/>
      <c r="HC12" s="201"/>
      <c r="HD12" s="201"/>
      <c r="HE12" s="201"/>
      <c r="HF12" s="201"/>
      <c r="HG12" s="201"/>
      <c r="HH12" s="201"/>
      <c r="HI12" s="201"/>
      <c r="HJ12" s="201"/>
      <c r="HK12" s="201"/>
      <c r="HL12" s="201"/>
      <c r="HM12" s="201"/>
      <c r="HN12" s="201"/>
      <c r="HO12" s="201"/>
      <c r="HP12" s="201"/>
      <c r="HQ12" s="201"/>
      <c r="HR12" s="201"/>
      <c r="HS12" s="201"/>
      <c r="HT12" s="201"/>
      <c r="HU12" s="201"/>
      <c r="HV12" s="201"/>
      <c r="HW12" s="201"/>
      <c r="HX12" s="201"/>
      <c r="HY12" s="201"/>
      <c r="HZ12" s="201"/>
      <c r="IA12" s="201"/>
      <c r="IB12" s="201"/>
      <c r="IC12" s="201"/>
      <c r="ID12" s="201"/>
      <c r="IE12" s="201"/>
      <c r="IF12" s="201"/>
      <c r="IG12" s="201"/>
      <c r="IH12" s="201"/>
      <c r="II12" s="201"/>
      <c r="IJ12" s="201"/>
      <c r="IK12" s="201"/>
      <c r="IL12" s="201"/>
      <c r="IM12" s="201"/>
      <c r="IN12" s="201"/>
      <c r="IO12" s="201"/>
      <c r="IP12" s="201"/>
      <c r="IQ12" s="201"/>
      <c r="IR12" s="201"/>
      <c r="IS12" s="201"/>
      <c r="IT12" s="201"/>
      <c r="IU12" s="201"/>
      <c r="IV12" s="201"/>
      <c r="IW12" s="201"/>
      <c r="IX12" s="201"/>
      <c r="IY12" s="201"/>
      <c r="IZ12" s="201"/>
      <c r="JA12" s="201"/>
      <c r="JB12" s="201"/>
      <c r="JC12" s="201"/>
      <c r="JD12" s="201"/>
      <c r="JE12" s="201"/>
      <c r="JF12" s="201"/>
      <c r="JG12" s="201"/>
      <c r="JH12" s="201"/>
      <c r="JI12" s="201"/>
      <c r="JJ12" s="201"/>
      <c r="JK12" s="201"/>
      <c r="JL12" s="201"/>
      <c r="JM12" s="201"/>
      <c r="JN12" s="201"/>
      <c r="JO12" s="201"/>
      <c r="JP12" s="201"/>
      <c r="JQ12" s="201"/>
      <c r="JR12" s="201"/>
      <c r="JS12" s="201"/>
      <c r="JT12" s="201"/>
      <c r="JU12" s="201"/>
      <c r="JV12" s="201"/>
      <c r="JW12" s="201"/>
      <c r="JX12" s="201"/>
      <c r="JY12" s="201"/>
      <c r="JZ12" s="201"/>
      <c r="KA12" s="201"/>
      <c r="KB12" s="201"/>
      <c r="KC12" s="201"/>
      <c r="KD12" s="201"/>
      <c r="KE12" s="201"/>
      <c r="KF12" s="201"/>
      <c r="KG12" s="201"/>
      <c r="KH12" s="201"/>
      <c r="KI12" s="201"/>
      <c r="KJ12" s="201"/>
      <c r="KK12" s="201"/>
      <c r="KL12" s="201"/>
      <c r="KM12" s="201"/>
      <c r="KN12" s="201"/>
      <c r="KO12" s="201"/>
      <c r="KP12" s="201"/>
      <c r="KQ12" s="201"/>
      <c r="KR12" s="201"/>
      <c r="KS12" s="201"/>
      <c r="KT12" s="201"/>
      <c r="KU12" s="201"/>
      <c r="KV12" s="201"/>
      <c r="KW12" s="201"/>
      <c r="KX12" s="201"/>
      <c r="KY12" s="201"/>
      <c r="KZ12" s="201"/>
      <c r="LA12" s="201"/>
      <c r="LB12" s="201"/>
      <c r="LC12" s="201"/>
      <c r="LD12" s="201"/>
      <c r="LE12" s="201"/>
      <c r="LF12" s="201"/>
      <c r="LG12" s="201"/>
      <c r="LH12" s="201"/>
      <c r="LI12" s="201"/>
      <c r="LJ12" s="201"/>
      <c r="LK12" s="201"/>
      <c r="LL12" s="201"/>
      <c r="LM12" s="201"/>
      <c r="LN12" s="201"/>
      <c r="LO12" s="201"/>
      <c r="LP12" s="201"/>
      <c r="LQ12" s="201"/>
      <c r="LR12" s="201"/>
      <c r="LS12" s="201"/>
      <c r="LT12" s="201"/>
      <c r="LU12" s="201"/>
      <c r="LV12" s="201"/>
      <c r="LW12" s="201"/>
      <c r="LX12" s="201"/>
      <c r="LY12" s="201"/>
      <c r="LZ12" s="201"/>
      <c r="MA12" s="201"/>
      <c r="MB12" s="201"/>
      <c r="MC12" s="201"/>
      <c r="MD12" s="201"/>
      <c r="ME12" s="201"/>
      <c r="MF12" s="201"/>
      <c r="MG12" s="201"/>
      <c r="MH12" s="201"/>
      <c r="MI12" s="201"/>
      <c r="MJ12" s="201"/>
      <c r="MK12" s="201"/>
      <c r="ML12" s="201"/>
      <c r="MM12" s="201"/>
      <c r="MN12" s="201"/>
      <c r="MO12" s="201"/>
      <c r="MP12" s="201"/>
      <c r="MQ12" s="201"/>
      <c r="MR12" s="201"/>
      <c r="MS12" s="201"/>
      <c r="MT12" s="201"/>
      <c r="MU12" s="201"/>
      <c r="MV12" s="201"/>
      <c r="MW12" s="201"/>
      <c r="MX12" s="201"/>
      <c r="MY12" s="201"/>
      <c r="MZ12" s="201"/>
      <c r="NA12" s="201"/>
      <c r="NB12" s="201"/>
      <c r="NC12" s="201"/>
      <c r="ND12" s="201"/>
      <c r="NE12" s="201"/>
      <c r="NF12" s="201"/>
      <c r="NG12" s="201"/>
      <c r="NH12" s="201"/>
      <c r="NI12" s="201"/>
      <c r="NJ12" s="201"/>
      <c r="NK12" s="201"/>
      <c r="NL12" s="201"/>
      <c r="NM12" s="201"/>
      <c r="NN12" s="201"/>
      <c r="NO12" s="201"/>
      <c r="NP12" s="201"/>
      <c r="NQ12" s="201"/>
      <c r="NR12" s="201"/>
      <c r="NS12" s="201"/>
      <c r="NT12" s="201"/>
      <c r="NU12" s="201"/>
      <c r="NV12" s="201"/>
      <c r="NW12" s="201"/>
      <c r="NX12" s="201"/>
      <c r="NY12" s="201"/>
      <c r="NZ12" s="201"/>
      <c r="OA12" s="201"/>
      <c r="OB12" s="201"/>
      <c r="OC12" s="201"/>
      <c r="OD12" s="201"/>
      <c r="OE12" s="201"/>
      <c r="OF12" s="201"/>
      <c r="OG12" s="201"/>
      <c r="OH12" s="201"/>
      <c r="OI12" s="201"/>
      <c r="OJ12" s="201"/>
      <c r="OK12" s="201"/>
      <c r="OL12" s="201"/>
      <c r="OM12" s="201"/>
      <c r="ON12" s="201"/>
      <c r="OO12" s="201"/>
      <c r="OP12" s="201"/>
      <c r="OQ12" s="201"/>
      <c r="OR12" s="201"/>
      <c r="OS12" s="201"/>
      <c r="OT12" s="201"/>
      <c r="OU12" s="201"/>
      <c r="OV12" s="201"/>
      <c r="OW12" s="201"/>
      <c r="OX12" s="201"/>
      <c r="OY12" s="201"/>
      <c r="OZ12" s="201"/>
      <c r="PA12" s="201"/>
      <c r="PB12" s="201"/>
      <c r="PC12" s="201"/>
      <c r="PD12" s="201"/>
      <c r="PE12" s="201"/>
      <c r="PF12" s="201"/>
      <c r="PG12" s="201"/>
      <c r="PH12" s="201"/>
      <c r="PI12" s="201"/>
      <c r="PJ12" s="201"/>
      <c r="PK12" s="201"/>
      <c r="PL12" s="201"/>
      <c r="PM12" s="201"/>
      <c r="PN12" s="201"/>
      <c r="PO12" s="201"/>
      <c r="PP12" s="201"/>
      <c r="PQ12" s="201"/>
      <c r="PR12" s="201"/>
      <c r="PS12" s="201"/>
      <c r="PT12" s="201"/>
      <c r="PU12" s="201"/>
      <c r="PV12" s="201"/>
      <c r="PW12" s="201"/>
      <c r="PX12" s="201"/>
      <c r="PY12" s="201"/>
      <c r="PZ12" s="201"/>
      <c r="QA12" s="201"/>
      <c r="QB12" s="201"/>
      <c r="QC12" s="201"/>
      <c r="QD12" s="201"/>
      <c r="QE12" s="201"/>
      <c r="QF12" s="201"/>
      <c r="QG12" s="201"/>
      <c r="QH12" s="201"/>
      <c r="QI12" s="201"/>
      <c r="QJ12" s="201"/>
      <c r="QK12" s="201"/>
      <c r="QL12" s="201"/>
      <c r="QM12" s="201"/>
      <c r="QN12" s="201"/>
      <c r="QO12" s="201"/>
      <c r="QP12" s="201"/>
      <c r="QQ12" s="201"/>
      <c r="QR12" s="201"/>
      <c r="QS12" s="201"/>
      <c r="QT12" s="201"/>
      <c r="QU12" s="201"/>
      <c r="QV12" s="201"/>
      <c r="QW12" s="201"/>
      <c r="QX12" s="201"/>
      <c r="QY12" s="201"/>
      <c r="QZ12" s="201"/>
      <c r="RA12" s="201"/>
      <c r="RB12" s="201"/>
      <c r="RC12" s="201"/>
      <c r="RD12" s="201"/>
      <c r="RE12" s="201"/>
      <c r="RF12" s="201"/>
      <c r="RG12" s="201"/>
      <c r="RH12" s="201"/>
      <c r="RI12" s="201"/>
      <c r="RJ12" s="201"/>
      <c r="RK12" s="201"/>
      <c r="RL12" s="201"/>
      <c r="RM12" s="201"/>
      <c r="RN12" s="201"/>
      <c r="RO12" s="201"/>
      <c r="RP12" s="201"/>
      <c r="RQ12" s="201"/>
      <c r="RR12" s="201"/>
      <c r="RS12" s="201"/>
      <c r="RT12" s="201"/>
      <c r="RU12" s="201"/>
      <c r="RV12" s="201"/>
      <c r="RW12" s="201"/>
      <c r="RX12" s="201"/>
      <c r="RY12" s="201"/>
      <c r="RZ12" s="201"/>
      <c r="SA12" s="201"/>
      <c r="SB12" s="201"/>
      <c r="SC12" s="201"/>
      <c r="SD12" s="201"/>
      <c r="SE12" s="201"/>
      <c r="SF12" s="201"/>
      <c r="SG12" s="201"/>
      <c r="SH12" s="201"/>
      <c r="SI12" s="201"/>
      <c r="SJ12" s="201"/>
      <c r="SK12" s="201"/>
      <c r="SL12" s="201"/>
      <c r="SM12" s="201"/>
      <c r="SN12" s="201"/>
      <c r="SO12" s="201"/>
      <c r="SP12" s="201"/>
      <c r="SQ12" s="201"/>
      <c r="SR12" s="201"/>
      <c r="SS12" s="201"/>
      <c r="ST12" s="201"/>
      <c r="SU12" s="201"/>
      <c r="SV12" s="201"/>
      <c r="SW12" s="201"/>
      <c r="SX12" s="201"/>
      <c r="SY12" s="201"/>
      <c r="SZ12" s="201"/>
      <c r="TA12" s="201"/>
      <c r="TB12" s="201"/>
      <c r="TC12" s="201"/>
      <c r="TD12" s="201"/>
      <c r="TE12" s="201"/>
      <c r="TF12" s="201"/>
      <c r="TG12" s="201"/>
      <c r="TH12" s="201"/>
      <c r="TI12" s="201"/>
      <c r="TJ12" s="201"/>
      <c r="TK12" s="201"/>
      <c r="TL12" s="201"/>
      <c r="TM12" s="201"/>
      <c r="TN12" s="201"/>
      <c r="TO12" s="201"/>
      <c r="TP12" s="201"/>
      <c r="TQ12" s="201"/>
      <c r="TR12" s="201"/>
      <c r="TS12" s="201"/>
      <c r="TT12" s="201"/>
      <c r="TU12" s="201"/>
      <c r="TV12" s="201"/>
      <c r="TW12" s="201"/>
      <c r="TX12" s="201"/>
      <c r="TY12" s="201"/>
      <c r="TZ12" s="201"/>
      <c r="UA12" s="201"/>
      <c r="UB12" s="201"/>
      <c r="UC12" s="201"/>
      <c r="UD12" s="201"/>
      <c r="UE12" s="201"/>
      <c r="UF12" s="201"/>
      <c r="UG12" s="201"/>
      <c r="UH12" s="201"/>
      <c r="UI12" s="201"/>
      <c r="UJ12" s="201"/>
      <c r="UK12" s="201"/>
      <c r="UL12" s="201"/>
      <c r="UM12" s="201"/>
      <c r="UN12" s="201"/>
      <c r="UO12" s="201"/>
      <c r="UP12" s="201"/>
      <c r="UQ12" s="201"/>
      <c r="UR12" s="201"/>
      <c r="US12" s="201"/>
      <c r="UT12" s="201"/>
      <c r="UU12" s="201"/>
      <c r="UV12" s="201"/>
      <c r="UW12" s="201"/>
      <c r="UX12" s="201"/>
      <c r="UY12" s="201"/>
      <c r="UZ12" s="201"/>
      <c r="VA12" s="201"/>
      <c r="VB12" s="201"/>
      <c r="VC12" s="201"/>
      <c r="VD12" s="201"/>
      <c r="VE12" s="201"/>
      <c r="VF12" s="201"/>
      <c r="VG12" s="201"/>
      <c r="VH12" s="201"/>
      <c r="VI12" s="201"/>
      <c r="VJ12" s="201"/>
      <c r="VK12" s="201"/>
      <c r="VL12" s="201"/>
      <c r="VM12" s="201"/>
      <c r="VN12" s="201"/>
      <c r="VO12" s="201"/>
      <c r="VP12" s="201"/>
      <c r="VQ12" s="201"/>
      <c r="VR12" s="201"/>
      <c r="VS12" s="201"/>
      <c r="VT12" s="201"/>
      <c r="VU12" s="201"/>
      <c r="VV12" s="201"/>
      <c r="VW12" s="201"/>
      <c r="VX12" s="201"/>
      <c r="VY12" s="201"/>
      <c r="VZ12" s="201"/>
      <c r="WA12" s="201"/>
      <c r="WB12" s="201"/>
      <c r="WC12" s="201"/>
      <c r="WD12" s="201"/>
      <c r="WE12" s="201"/>
      <c r="WF12" s="201"/>
      <c r="WG12" s="201"/>
      <c r="WH12" s="201"/>
      <c r="WI12" s="201"/>
      <c r="WJ12" s="201"/>
      <c r="WK12" s="201"/>
      <c r="WL12" s="201"/>
      <c r="WM12" s="201"/>
      <c r="WN12" s="201"/>
      <c r="WO12" s="201"/>
      <c r="WP12" s="201"/>
      <c r="WQ12" s="201"/>
      <c r="WR12" s="201"/>
      <c r="WS12" s="201"/>
      <c r="WT12" s="201"/>
      <c r="WU12" s="201"/>
      <c r="WV12" s="201"/>
      <c r="WW12" s="201"/>
      <c r="WX12" s="201"/>
      <c r="WY12" s="201"/>
      <c r="WZ12" s="201"/>
      <c r="XA12" s="201"/>
      <c r="XB12" s="201"/>
      <c r="XC12" s="201"/>
      <c r="XD12" s="201"/>
      <c r="XE12" s="201"/>
      <c r="XF12" s="201"/>
      <c r="XG12" s="201"/>
      <c r="XH12" s="201"/>
      <c r="XI12" s="201"/>
      <c r="XJ12" s="201"/>
      <c r="XK12" s="201"/>
      <c r="XL12" s="201"/>
      <c r="XM12" s="201"/>
      <c r="XN12" s="201"/>
      <c r="XO12" s="201"/>
      <c r="XP12" s="201"/>
      <c r="XQ12" s="201"/>
      <c r="XR12" s="201"/>
      <c r="XS12" s="201"/>
      <c r="XT12" s="201"/>
      <c r="XU12" s="201"/>
      <c r="XV12" s="201"/>
      <c r="XW12" s="201"/>
      <c r="XX12" s="201"/>
      <c r="XY12" s="201"/>
      <c r="XZ12" s="201"/>
      <c r="YA12" s="201"/>
      <c r="YB12" s="201"/>
      <c r="YC12" s="201"/>
      <c r="YD12" s="201"/>
      <c r="YE12" s="201"/>
      <c r="YF12" s="201"/>
      <c r="YG12" s="201"/>
      <c r="YH12" s="201"/>
      <c r="YI12" s="201"/>
      <c r="YJ12" s="201"/>
      <c r="YK12" s="201"/>
      <c r="YL12" s="201"/>
      <c r="YM12" s="201"/>
      <c r="YN12" s="201"/>
      <c r="YO12" s="201"/>
      <c r="YP12" s="201"/>
      <c r="YQ12" s="201"/>
      <c r="YR12" s="201"/>
      <c r="YS12" s="201"/>
      <c r="YT12" s="201"/>
      <c r="YU12" s="201"/>
      <c r="YV12" s="201"/>
      <c r="YW12" s="201"/>
      <c r="YX12" s="201"/>
      <c r="YY12" s="201"/>
      <c r="YZ12" s="201"/>
      <c r="ZA12" s="201"/>
      <c r="ZB12" s="201"/>
      <c r="ZC12" s="201"/>
      <c r="ZD12" s="201"/>
      <c r="ZE12" s="201"/>
      <c r="ZF12" s="201"/>
      <c r="ZG12" s="201"/>
      <c r="ZH12" s="201"/>
      <c r="ZI12" s="201"/>
      <c r="ZJ12" s="201"/>
      <c r="ZK12" s="201"/>
      <c r="ZL12" s="201"/>
      <c r="ZM12" s="201"/>
      <c r="ZN12" s="201"/>
      <c r="ZO12" s="201"/>
      <c r="ZP12" s="201"/>
      <c r="ZQ12" s="201"/>
      <c r="ZR12" s="201"/>
      <c r="ZS12" s="201"/>
      <c r="ZT12" s="201"/>
      <c r="ZU12" s="201"/>
      <c r="ZV12" s="201"/>
      <c r="ZW12" s="201"/>
    </row>
    <row r="13" spans="1:699" ht="15.75" customHeight="1" thickBot="1" x14ac:dyDescent="0.25">
      <c r="A13" s="42"/>
      <c r="B13" s="213"/>
      <c r="C13" s="209"/>
      <c r="D13" s="209"/>
      <c r="E13" s="209"/>
      <c r="F13" s="210"/>
      <c r="G13" s="61"/>
      <c r="H13" s="216">
        <v>2015</v>
      </c>
      <c r="I13" s="278">
        <v>2500000</v>
      </c>
      <c r="J13" s="200">
        <f>M20</f>
        <v>1.1340000000000001</v>
      </c>
      <c r="K13" s="200">
        <f>(1+$B$21)^(2019-H13)</f>
        <v>1.08243216</v>
      </c>
      <c r="L13" s="279">
        <f>PRODUCT(I13:K13)</f>
        <v>3068695.1736000003</v>
      </c>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row>
    <row r="14" spans="1:699" ht="15.75" customHeight="1" thickBot="1" x14ac:dyDescent="0.25">
      <c r="A14" s="42"/>
      <c r="B14" s="226" t="s">
        <v>197</v>
      </c>
      <c r="C14" s="227"/>
      <c r="D14" s="227"/>
      <c r="E14" s="228"/>
      <c r="F14" s="210"/>
      <c r="G14" s="61"/>
      <c r="H14" s="216">
        <v>2016</v>
      </c>
      <c r="I14" s="278">
        <v>3100000</v>
      </c>
      <c r="J14" s="200">
        <f t="shared" ref="J14:J15" si="0">M21</f>
        <v>1.1227722772277229</v>
      </c>
      <c r="K14" s="200">
        <f t="shared" ref="K14:K15" si="1">(1+$B$21)^(2019-H14)</f>
        <v>1.0612079999999999</v>
      </c>
      <c r="L14" s="279">
        <f t="shared" ref="L14:L15" si="2">PRODUCT(I14:K14)</f>
        <v>3693634.2605940597</v>
      </c>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row>
    <row r="15" spans="1:699" ht="15.75" customHeight="1" thickBot="1" x14ac:dyDescent="0.25">
      <c r="A15" s="42"/>
      <c r="B15" s="230" t="s">
        <v>182</v>
      </c>
      <c r="C15" s="231">
        <v>12</v>
      </c>
      <c r="D15" s="231">
        <v>24</v>
      </c>
      <c r="E15" s="232">
        <v>36</v>
      </c>
      <c r="F15" s="210"/>
      <c r="G15" s="61"/>
      <c r="H15" s="216">
        <v>2017</v>
      </c>
      <c r="I15" s="278">
        <v>2100000</v>
      </c>
      <c r="J15" s="200">
        <f t="shared" si="0"/>
        <v>1.053169259345252</v>
      </c>
      <c r="K15" s="200">
        <f t="shared" si="1"/>
        <v>1.0404</v>
      </c>
      <c r="L15" s="279">
        <f t="shared" si="2"/>
        <v>2301006.3245878806</v>
      </c>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214"/>
      <c r="CV15" s="214"/>
      <c r="CW15" s="214"/>
      <c r="CX15" s="214"/>
      <c r="CY15" s="214"/>
      <c r="CZ15" s="214"/>
      <c r="DA15" s="214"/>
      <c r="DB15" s="214"/>
      <c r="DC15" s="214"/>
      <c r="DD15" s="214"/>
      <c r="DE15" s="214"/>
      <c r="DF15" s="214"/>
      <c r="DG15" s="214"/>
      <c r="DH15" s="214"/>
      <c r="DI15" s="214"/>
      <c r="DJ15" s="214"/>
      <c r="DK15" s="214"/>
      <c r="DL15" s="214"/>
      <c r="DM15" s="214"/>
      <c r="DN15" s="214"/>
      <c r="DO15" s="214"/>
      <c r="DP15" s="214"/>
      <c r="DQ15" s="214"/>
      <c r="DR15" s="214"/>
      <c r="DS15" s="214"/>
      <c r="DT15" s="214"/>
      <c r="DU15" s="214"/>
      <c r="DV15" s="214"/>
      <c r="DW15" s="214"/>
      <c r="DX15" s="214"/>
      <c r="DY15" s="214"/>
      <c r="DZ15" s="214"/>
      <c r="EA15" s="214"/>
      <c r="EB15" s="214"/>
      <c r="EC15" s="214"/>
      <c r="ED15" s="214"/>
      <c r="EE15" s="214"/>
      <c r="EF15" s="214"/>
      <c r="EG15" s="214"/>
      <c r="EH15" s="214"/>
      <c r="EI15" s="214"/>
      <c r="EJ15" s="214"/>
      <c r="EK15" s="214"/>
      <c r="EL15" s="214"/>
      <c r="EM15" s="214"/>
      <c r="EN15" s="214"/>
      <c r="EO15" s="214"/>
      <c r="EP15" s="214"/>
      <c r="EQ15" s="214"/>
      <c r="ER15" s="214"/>
      <c r="ES15" s="214"/>
      <c r="ET15" s="214"/>
      <c r="EU15" s="214"/>
      <c r="EV15" s="214"/>
      <c r="EW15" s="214"/>
      <c r="EX15" s="214"/>
      <c r="EY15" s="214"/>
      <c r="EZ15" s="214"/>
      <c r="FA15" s="214"/>
      <c r="FB15" s="214"/>
      <c r="FC15" s="214"/>
      <c r="FD15" s="214"/>
      <c r="FE15" s="214"/>
      <c r="FF15" s="214"/>
      <c r="FG15" s="214"/>
      <c r="FH15" s="214"/>
      <c r="FI15" s="214"/>
      <c r="FJ15" s="214"/>
      <c r="FK15" s="214"/>
      <c r="FL15" s="214"/>
      <c r="FM15" s="214"/>
      <c r="FN15" s="214"/>
      <c r="FO15" s="214"/>
      <c r="FP15" s="214"/>
      <c r="FQ15" s="214"/>
      <c r="FR15" s="214"/>
      <c r="FS15" s="214"/>
      <c r="FT15" s="214"/>
      <c r="FU15" s="214"/>
      <c r="FV15" s="214"/>
      <c r="FW15" s="214"/>
      <c r="FX15" s="214"/>
      <c r="FY15" s="214"/>
      <c r="FZ15" s="214"/>
      <c r="GA15" s="214"/>
      <c r="GB15" s="214"/>
      <c r="GC15" s="214"/>
      <c r="GD15" s="214"/>
      <c r="GE15" s="214"/>
      <c r="GF15" s="214"/>
      <c r="GG15" s="214"/>
      <c r="GH15" s="214"/>
      <c r="GI15" s="214"/>
      <c r="GJ15" s="214"/>
      <c r="GK15" s="214"/>
      <c r="GL15" s="214"/>
      <c r="GM15" s="214"/>
      <c r="GN15" s="214"/>
      <c r="GO15" s="214"/>
      <c r="GP15" s="214"/>
      <c r="GQ15" s="214"/>
      <c r="GR15" s="214"/>
      <c r="GS15" s="214"/>
      <c r="GT15" s="214"/>
      <c r="GU15" s="214"/>
      <c r="GV15" s="214"/>
      <c r="GW15" s="214"/>
      <c r="GX15" s="214"/>
      <c r="GY15" s="214"/>
      <c r="GZ15" s="214"/>
      <c r="HA15" s="214"/>
      <c r="HB15" s="214"/>
      <c r="HC15" s="214"/>
      <c r="HD15" s="214"/>
      <c r="HE15" s="214"/>
      <c r="HF15" s="214"/>
      <c r="HG15" s="214"/>
      <c r="HH15" s="214"/>
      <c r="HI15" s="214"/>
      <c r="HJ15" s="214"/>
      <c r="HK15" s="214"/>
      <c r="HL15" s="214"/>
      <c r="HM15" s="214"/>
      <c r="HN15" s="214"/>
      <c r="HO15" s="214"/>
      <c r="HP15" s="214"/>
      <c r="HQ15" s="214"/>
      <c r="HR15" s="214"/>
      <c r="HS15" s="214"/>
      <c r="HT15" s="214"/>
      <c r="HU15" s="214"/>
      <c r="HV15" s="214"/>
      <c r="HW15" s="214"/>
      <c r="HX15" s="214"/>
      <c r="HY15" s="214"/>
      <c r="HZ15" s="214"/>
      <c r="IA15" s="214"/>
      <c r="IB15" s="214"/>
      <c r="IC15" s="214"/>
      <c r="ID15" s="214"/>
      <c r="IE15" s="214"/>
      <c r="IF15" s="214"/>
      <c r="IG15" s="214"/>
      <c r="IH15" s="214"/>
      <c r="II15" s="214"/>
      <c r="IJ15" s="214"/>
      <c r="IK15" s="214"/>
      <c r="IL15" s="214"/>
      <c r="IM15" s="214"/>
      <c r="IN15" s="214"/>
      <c r="IO15" s="214"/>
      <c r="IP15" s="214"/>
      <c r="IQ15" s="214"/>
      <c r="IR15" s="214"/>
      <c r="IS15" s="214"/>
      <c r="IT15" s="214"/>
      <c r="IU15" s="214"/>
      <c r="IV15" s="214"/>
      <c r="IW15" s="214"/>
      <c r="IX15" s="214"/>
      <c r="IY15" s="214"/>
      <c r="IZ15" s="214"/>
      <c r="JA15" s="214"/>
      <c r="JB15" s="214"/>
      <c r="JC15" s="214"/>
      <c r="JD15" s="214"/>
      <c r="JE15" s="214"/>
      <c r="JF15" s="214"/>
      <c r="JG15" s="214"/>
      <c r="JH15" s="214"/>
      <c r="JI15" s="214"/>
      <c r="JJ15" s="214"/>
      <c r="JK15" s="214"/>
      <c r="JL15" s="214"/>
      <c r="JM15" s="214"/>
      <c r="JN15" s="214"/>
      <c r="JO15" s="214"/>
      <c r="JP15" s="214"/>
      <c r="JQ15" s="214"/>
      <c r="JR15" s="214"/>
      <c r="JS15" s="214"/>
      <c r="JT15" s="214"/>
      <c r="JU15" s="214"/>
      <c r="JV15" s="214"/>
      <c r="JW15" s="214"/>
      <c r="JX15" s="214"/>
      <c r="JY15" s="214"/>
      <c r="JZ15" s="214"/>
      <c r="KA15" s="214"/>
      <c r="KB15" s="214"/>
      <c r="KC15" s="214"/>
      <c r="KD15" s="214"/>
      <c r="KE15" s="214"/>
      <c r="KF15" s="214"/>
      <c r="KG15" s="214"/>
      <c r="KH15" s="214"/>
      <c r="KI15" s="214"/>
      <c r="KJ15" s="214"/>
      <c r="KK15" s="214"/>
      <c r="KL15" s="214"/>
      <c r="KM15" s="214"/>
      <c r="KN15" s="214"/>
      <c r="KO15" s="214"/>
      <c r="KP15" s="214"/>
      <c r="KQ15" s="214"/>
      <c r="KR15" s="214"/>
      <c r="KS15" s="214"/>
      <c r="KT15" s="214"/>
      <c r="KU15" s="214"/>
      <c r="KV15" s="214"/>
      <c r="KW15" s="214"/>
      <c r="KX15" s="214"/>
      <c r="KY15" s="214"/>
      <c r="KZ15" s="214"/>
      <c r="LA15" s="214"/>
      <c r="LB15" s="214"/>
      <c r="LC15" s="214"/>
      <c r="LD15" s="214"/>
      <c r="LE15" s="214"/>
      <c r="LF15" s="214"/>
      <c r="LG15" s="214"/>
      <c r="LH15" s="214"/>
      <c r="LI15" s="214"/>
      <c r="LJ15" s="214"/>
      <c r="LK15" s="214"/>
      <c r="LL15" s="214"/>
      <c r="LM15" s="214"/>
      <c r="LN15" s="214"/>
      <c r="LO15" s="214"/>
      <c r="LP15" s="214"/>
      <c r="LQ15" s="214"/>
      <c r="LR15" s="214"/>
      <c r="LS15" s="214"/>
      <c r="LT15" s="214"/>
      <c r="LU15" s="214"/>
      <c r="LV15" s="214"/>
      <c r="LW15" s="214"/>
      <c r="LX15" s="214"/>
      <c r="LY15" s="214"/>
      <c r="LZ15" s="214"/>
      <c r="MA15" s="214"/>
      <c r="MB15" s="214"/>
      <c r="MC15" s="214"/>
      <c r="MD15" s="214"/>
      <c r="ME15" s="214"/>
      <c r="MF15" s="214"/>
      <c r="MG15" s="214"/>
      <c r="MH15" s="214"/>
      <c r="MI15" s="214"/>
      <c r="MJ15" s="214"/>
      <c r="MK15" s="214"/>
      <c r="ML15" s="214"/>
      <c r="MM15" s="214"/>
      <c r="MN15" s="214"/>
      <c r="MO15" s="214"/>
      <c r="MP15" s="214"/>
      <c r="MQ15" s="214"/>
      <c r="MR15" s="214"/>
      <c r="MS15" s="214"/>
      <c r="MT15" s="214"/>
      <c r="MU15" s="214"/>
      <c r="MV15" s="214"/>
      <c r="MW15" s="214"/>
      <c r="MX15" s="214"/>
      <c r="MY15" s="214"/>
      <c r="MZ15" s="214"/>
      <c r="NA15" s="214"/>
      <c r="NB15" s="214"/>
      <c r="NC15" s="214"/>
      <c r="ND15" s="214"/>
      <c r="NE15" s="214"/>
      <c r="NF15" s="214"/>
      <c r="NG15" s="214"/>
      <c r="NH15" s="214"/>
      <c r="NI15" s="214"/>
      <c r="NJ15" s="214"/>
      <c r="NK15" s="214"/>
      <c r="NL15" s="214"/>
      <c r="NM15" s="214"/>
      <c r="NN15" s="214"/>
      <c r="NO15" s="214"/>
      <c r="NP15" s="214"/>
      <c r="NQ15" s="214"/>
      <c r="NR15" s="214"/>
      <c r="NS15" s="214"/>
      <c r="NT15" s="214"/>
      <c r="NU15" s="214"/>
      <c r="NV15" s="214"/>
      <c r="NW15" s="214"/>
      <c r="NX15" s="214"/>
      <c r="NY15" s="214"/>
      <c r="NZ15" s="214"/>
      <c r="OA15" s="214"/>
      <c r="OB15" s="214"/>
      <c r="OC15" s="214"/>
      <c r="OD15" s="214"/>
      <c r="OE15" s="214"/>
      <c r="OF15" s="214"/>
      <c r="OG15" s="214"/>
      <c r="OH15" s="214"/>
      <c r="OI15" s="214"/>
      <c r="OJ15" s="214"/>
      <c r="OK15" s="214"/>
      <c r="OL15" s="214"/>
      <c r="OM15" s="214"/>
      <c r="ON15" s="214"/>
      <c r="OO15" s="214"/>
      <c r="OP15" s="214"/>
      <c r="OQ15" s="214"/>
      <c r="OR15" s="214"/>
      <c r="OS15" s="214"/>
      <c r="OT15" s="214"/>
      <c r="OU15" s="214"/>
      <c r="OV15" s="214"/>
      <c r="OW15" s="214"/>
      <c r="OX15" s="214"/>
      <c r="OY15" s="214"/>
      <c r="OZ15" s="214"/>
      <c r="PA15" s="214"/>
      <c r="PB15" s="214"/>
      <c r="PC15" s="214"/>
      <c r="PD15" s="214"/>
      <c r="PE15" s="214"/>
      <c r="PF15" s="214"/>
      <c r="PG15" s="214"/>
      <c r="PH15" s="214"/>
      <c r="PI15" s="214"/>
      <c r="PJ15" s="214"/>
      <c r="PK15" s="214"/>
      <c r="PL15" s="214"/>
      <c r="PM15" s="214"/>
      <c r="PN15" s="214"/>
      <c r="PO15" s="214"/>
      <c r="PP15" s="214"/>
      <c r="PQ15" s="214"/>
      <c r="PR15" s="214"/>
      <c r="PS15" s="214"/>
      <c r="PT15" s="214"/>
      <c r="PU15" s="214"/>
      <c r="PV15" s="214"/>
      <c r="PW15" s="214"/>
      <c r="PX15" s="214"/>
      <c r="PY15" s="214"/>
      <c r="PZ15" s="214"/>
      <c r="QA15" s="214"/>
      <c r="QB15" s="214"/>
      <c r="QC15" s="214"/>
      <c r="QD15" s="214"/>
      <c r="QE15" s="214"/>
      <c r="QF15" s="214"/>
      <c r="QG15" s="214"/>
      <c r="QH15" s="214"/>
      <c r="QI15" s="214"/>
      <c r="QJ15" s="214"/>
      <c r="QK15" s="214"/>
      <c r="QL15" s="214"/>
      <c r="QM15" s="214"/>
      <c r="QN15" s="214"/>
      <c r="QO15" s="214"/>
      <c r="QP15" s="214"/>
      <c r="QQ15" s="214"/>
      <c r="QR15" s="214"/>
      <c r="QS15" s="214"/>
      <c r="QT15" s="214"/>
      <c r="QU15" s="214"/>
      <c r="QV15" s="214"/>
      <c r="QW15" s="214"/>
      <c r="QX15" s="214"/>
      <c r="QY15" s="214"/>
      <c r="QZ15" s="214"/>
      <c r="RA15" s="214"/>
      <c r="RB15" s="214"/>
      <c r="RC15" s="214"/>
      <c r="RD15" s="214"/>
      <c r="RE15" s="214"/>
      <c r="RF15" s="214"/>
      <c r="RG15" s="214"/>
      <c r="RH15" s="214"/>
      <c r="RI15" s="214"/>
      <c r="RJ15" s="214"/>
      <c r="RK15" s="214"/>
      <c r="RL15" s="214"/>
      <c r="RM15" s="214"/>
      <c r="RN15" s="214"/>
      <c r="RO15" s="214"/>
      <c r="RP15" s="214"/>
      <c r="RQ15" s="214"/>
      <c r="RR15" s="214"/>
      <c r="RS15" s="214"/>
      <c r="RT15" s="214"/>
      <c r="RU15" s="214"/>
      <c r="RV15" s="214"/>
      <c r="RW15" s="214"/>
      <c r="RX15" s="214"/>
      <c r="RY15" s="214"/>
      <c r="RZ15" s="214"/>
      <c r="SA15" s="214"/>
      <c r="SB15" s="214"/>
      <c r="SC15" s="214"/>
      <c r="SD15" s="214"/>
      <c r="SE15" s="214"/>
      <c r="SF15" s="214"/>
      <c r="SG15" s="214"/>
      <c r="SH15" s="214"/>
      <c r="SI15" s="214"/>
      <c r="SJ15" s="214"/>
      <c r="SK15" s="214"/>
      <c r="SL15" s="214"/>
      <c r="SM15" s="214"/>
      <c r="SN15" s="214"/>
      <c r="SO15" s="214"/>
      <c r="SP15" s="214"/>
      <c r="SQ15" s="214"/>
      <c r="SR15" s="214"/>
      <c r="SS15" s="214"/>
      <c r="ST15" s="214"/>
      <c r="SU15" s="214"/>
      <c r="SV15" s="214"/>
      <c r="SW15" s="214"/>
      <c r="SX15" s="214"/>
      <c r="SY15" s="214"/>
      <c r="SZ15" s="214"/>
      <c r="TA15" s="214"/>
      <c r="TB15" s="214"/>
      <c r="TC15" s="214"/>
      <c r="TD15" s="214"/>
      <c r="TE15" s="214"/>
      <c r="TF15" s="214"/>
      <c r="TG15" s="214"/>
      <c r="TH15" s="214"/>
      <c r="TI15" s="214"/>
      <c r="TJ15" s="214"/>
      <c r="TK15" s="214"/>
      <c r="TL15" s="214"/>
      <c r="TM15" s="214"/>
      <c r="TN15" s="214"/>
      <c r="TO15" s="214"/>
      <c r="TP15" s="214"/>
      <c r="TQ15" s="214"/>
      <c r="TR15" s="214"/>
      <c r="TS15" s="214"/>
      <c r="TT15" s="214"/>
      <c r="TU15" s="214"/>
      <c r="TV15" s="214"/>
      <c r="TW15" s="214"/>
      <c r="TX15" s="214"/>
      <c r="TY15" s="214"/>
      <c r="TZ15" s="214"/>
      <c r="UA15" s="214"/>
      <c r="UB15" s="214"/>
      <c r="UC15" s="214"/>
      <c r="UD15" s="214"/>
      <c r="UE15" s="214"/>
      <c r="UF15" s="214"/>
      <c r="UG15" s="214"/>
      <c r="UH15" s="214"/>
      <c r="UI15" s="214"/>
      <c r="UJ15" s="214"/>
      <c r="UK15" s="214"/>
      <c r="UL15" s="214"/>
      <c r="UM15" s="214"/>
      <c r="UN15" s="214"/>
      <c r="UO15" s="214"/>
      <c r="UP15" s="214"/>
      <c r="UQ15" s="214"/>
      <c r="UR15" s="214"/>
      <c r="US15" s="214"/>
      <c r="UT15" s="214"/>
      <c r="UU15" s="214"/>
      <c r="UV15" s="214"/>
      <c r="UW15" s="214"/>
      <c r="UX15" s="214"/>
      <c r="UY15" s="214"/>
      <c r="UZ15" s="214"/>
      <c r="VA15" s="214"/>
      <c r="VB15" s="214"/>
      <c r="VC15" s="214"/>
      <c r="VD15" s="214"/>
      <c r="VE15" s="214"/>
      <c r="VF15" s="214"/>
      <c r="VG15" s="214"/>
      <c r="VH15" s="214"/>
      <c r="VI15" s="214"/>
      <c r="VJ15" s="214"/>
      <c r="VK15" s="214"/>
      <c r="VL15" s="214"/>
      <c r="VM15" s="214"/>
      <c r="VN15" s="214"/>
      <c r="VO15" s="214"/>
      <c r="VP15" s="214"/>
      <c r="VQ15" s="214"/>
      <c r="VR15" s="214"/>
      <c r="VS15" s="214"/>
      <c r="VT15" s="214"/>
      <c r="VU15" s="214"/>
      <c r="VV15" s="214"/>
      <c r="VW15" s="214"/>
      <c r="VX15" s="214"/>
      <c r="VY15" s="214"/>
      <c r="VZ15" s="214"/>
      <c r="WA15" s="214"/>
      <c r="WB15" s="214"/>
      <c r="WC15" s="214"/>
      <c r="WD15" s="214"/>
      <c r="WE15" s="214"/>
      <c r="WF15" s="214"/>
      <c r="WG15" s="214"/>
      <c r="WH15" s="214"/>
      <c r="WI15" s="214"/>
      <c r="WJ15" s="214"/>
      <c r="WK15" s="214"/>
      <c r="WL15" s="214"/>
      <c r="WM15" s="214"/>
      <c r="WN15" s="214"/>
      <c r="WO15" s="214"/>
      <c r="WP15" s="214"/>
      <c r="WQ15" s="214"/>
      <c r="WR15" s="214"/>
      <c r="WS15" s="214"/>
      <c r="WT15" s="214"/>
      <c r="WU15" s="214"/>
      <c r="WV15" s="214"/>
      <c r="WW15" s="214"/>
      <c r="WX15" s="214"/>
      <c r="WY15" s="214"/>
      <c r="WZ15" s="214"/>
      <c r="XA15" s="214"/>
      <c r="XB15" s="214"/>
      <c r="XC15" s="214"/>
      <c r="XD15" s="214"/>
      <c r="XE15" s="214"/>
      <c r="XF15" s="214"/>
      <c r="XG15" s="214"/>
      <c r="XH15" s="214"/>
      <c r="XI15" s="214"/>
      <c r="XJ15" s="214"/>
      <c r="XK15" s="214"/>
      <c r="XL15" s="214"/>
      <c r="XM15" s="214"/>
      <c r="XN15" s="214"/>
      <c r="XO15" s="214"/>
      <c r="XP15" s="214"/>
      <c r="XQ15" s="214"/>
      <c r="XR15" s="214"/>
      <c r="XS15" s="214"/>
      <c r="XT15" s="214"/>
      <c r="XU15" s="214"/>
      <c r="XV15" s="214"/>
      <c r="XW15" s="214"/>
      <c r="XX15" s="214"/>
      <c r="XY15" s="214"/>
      <c r="XZ15" s="214"/>
      <c r="YA15" s="214"/>
      <c r="YB15" s="214"/>
      <c r="YC15" s="214"/>
      <c r="YD15" s="214"/>
      <c r="YE15" s="214"/>
      <c r="YF15" s="214"/>
      <c r="YG15" s="214"/>
      <c r="YH15" s="214"/>
      <c r="YI15" s="214"/>
      <c r="YJ15" s="214"/>
      <c r="YK15" s="214"/>
      <c r="YL15" s="214"/>
      <c r="YM15" s="214"/>
      <c r="YN15" s="214"/>
      <c r="YO15" s="214"/>
      <c r="YP15" s="214"/>
      <c r="YQ15" s="214"/>
      <c r="YR15" s="214"/>
      <c r="YS15" s="214"/>
      <c r="YT15" s="214"/>
      <c r="YU15" s="214"/>
      <c r="YV15" s="214"/>
      <c r="YW15" s="214"/>
      <c r="YX15" s="214"/>
      <c r="YY15" s="214"/>
      <c r="YZ15" s="214"/>
      <c r="ZA15" s="214"/>
      <c r="ZB15" s="214"/>
      <c r="ZC15" s="214"/>
      <c r="ZD15" s="214"/>
      <c r="ZE15" s="214"/>
      <c r="ZF15" s="214"/>
      <c r="ZG15" s="214"/>
      <c r="ZH15" s="214"/>
      <c r="ZI15" s="214"/>
      <c r="ZJ15" s="214"/>
      <c r="ZK15" s="214"/>
      <c r="ZL15" s="214"/>
      <c r="ZM15" s="214"/>
      <c r="ZN15" s="214"/>
      <c r="ZO15" s="214"/>
      <c r="ZP15" s="214"/>
      <c r="ZQ15" s="214"/>
      <c r="ZR15" s="214"/>
      <c r="ZS15" s="214"/>
      <c r="ZT15" s="214"/>
      <c r="ZU15" s="214"/>
      <c r="ZV15" s="214"/>
      <c r="ZW15" s="214"/>
    </row>
    <row r="16" spans="1:699" ht="15.75" customHeight="1" x14ac:dyDescent="0.2">
      <c r="A16" s="42"/>
      <c r="B16" s="234">
        <v>2015</v>
      </c>
      <c r="C16" s="235">
        <v>1000000</v>
      </c>
      <c r="D16" s="235">
        <v>1500000</v>
      </c>
      <c r="E16" s="236">
        <v>1724999.9999999998</v>
      </c>
      <c r="F16" s="210"/>
      <c r="G16" s="61"/>
      <c r="H16" s="233"/>
      <c r="I16" s="280"/>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214"/>
      <c r="CV16" s="214"/>
      <c r="CW16" s="214"/>
      <c r="CX16" s="214"/>
      <c r="CY16" s="214"/>
      <c r="CZ16" s="214"/>
      <c r="DA16" s="214"/>
      <c r="DB16" s="214"/>
      <c r="DC16" s="214"/>
      <c r="DD16" s="214"/>
      <c r="DE16" s="214"/>
      <c r="DF16" s="214"/>
      <c r="DG16" s="214"/>
      <c r="DH16" s="214"/>
      <c r="DI16" s="214"/>
      <c r="DJ16" s="214"/>
      <c r="DK16" s="214"/>
      <c r="DL16" s="214"/>
      <c r="DM16" s="214"/>
      <c r="DN16" s="214"/>
      <c r="DO16" s="214"/>
      <c r="DP16" s="214"/>
      <c r="DQ16" s="214"/>
      <c r="DR16" s="214"/>
      <c r="DS16" s="214"/>
      <c r="DT16" s="214"/>
      <c r="DU16" s="214"/>
      <c r="DV16" s="214"/>
      <c r="DW16" s="214"/>
      <c r="DX16" s="214"/>
      <c r="DY16" s="214"/>
      <c r="DZ16" s="214"/>
      <c r="EA16" s="214"/>
      <c r="EB16" s="214"/>
      <c r="EC16" s="214"/>
      <c r="ED16" s="214"/>
      <c r="EE16" s="214"/>
      <c r="EF16" s="214"/>
      <c r="EG16" s="214"/>
      <c r="EH16" s="214"/>
      <c r="EI16" s="214"/>
      <c r="EJ16" s="214"/>
      <c r="EK16" s="214"/>
      <c r="EL16" s="214"/>
      <c r="EM16" s="214"/>
      <c r="EN16" s="214"/>
      <c r="EO16" s="214"/>
      <c r="EP16" s="214"/>
      <c r="EQ16" s="214"/>
      <c r="ER16" s="214"/>
      <c r="ES16" s="214"/>
      <c r="ET16" s="214"/>
      <c r="EU16" s="214"/>
      <c r="EV16" s="214"/>
      <c r="EW16" s="214"/>
      <c r="EX16" s="214"/>
      <c r="EY16" s="214"/>
      <c r="EZ16" s="214"/>
      <c r="FA16" s="214"/>
      <c r="FB16" s="214"/>
      <c r="FC16" s="214"/>
      <c r="FD16" s="214"/>
      <c r="FE16" s="214"/>
      <c r="FF16" s="214"/>
      <c r="FG16" s="214"/>
      <c r="FH16" s="214"/>
      <c r="FI16" s="214"/>
      <c r="FJ16" s="214"/>
      <c r="FK16" s="214"/>
      <c r="FL16" s="214"/>
      <c r="FM16" s="214"/>
      <c r="FN16" s="214"/>
      <c r="FO16" s="214"/>
      <c r="FP16" s="214"/>
      <c r="FQ16" s="214"/>
      <c r="FR16" s="214"/>
      <c r="FS16" s="214"/>
      <c r="FT16" s="214"/>
      <c r="FU16" s="214"/>
      <c r="FV16" s="214"/>
      <c r="FW16" s="214"/>
      <c r="FX16" s="214"/>
      <c r="FY16" s="214"/>
      <c r="FZ16" s="214"/>
      <c r="GA16" s="214"/>
      <c r="GB16" s="214"/>
      <c r="GC16" s="214"/>
      <c r="GD16" s="214"/>
      <c r="GE16" s="214"/>
      <c r="GF16" s="214"/>
      <c r="GG16" s="214"/>
      <c r="GH16" s="214"/>
      <c r="GI16" s="214"/>
      <c r="GJ16" s="214"/>
      <c r="GK16" s="214"/>
      <c r="GL16" s="214"/>
      <c r="GM16" s="214"/>
      <c r="GN16" s="214"/>
      <c r="GO16" s="214"/>
      <c r="GP16" s="214"/>
      <c r="GQ16" s="214"/>
      <c r="GR16" s="214"/>
      <c r="GS16" s="214"/>
      <c r="GT16" s="214"/>
      <c r="GU16" s="214"/>
      <c r="GV16" s="214"/>
      <c r="GW16" s="214"/>
      <c r="GX16" s="214"/>
      <c r="GY16" s="214"/>
      <c r="GZ16" s="214"/>
      <c r="HA16" s="214"/>
      <c r="HB16" s="214"/>
      <c r="HC16" s="214"/>
      <c r="HD16" s="214"/>
      <c r="HE16" s="214"/>
      <c r="HF16" s="214"/>
      <c r="HG16" s="214"/>
      <c r="HH16" s="214"/>
      <c r="HI16" s="214"/>
      <c r="HJ16" s="214"/>
      <c r="HK16" s="214"/>
      <c r="HL16" s="214"/>
      <c r="HM16" s="214"/>
      <c r="HN16" s="214"/>
      <c r="HO16" s="214"/>
      <c r="HP16" s="214"/>
      <c r="HQ16" s="214"/>
      <c r="HR16" s="214"/>
      <c r="HS16" s="214"/>
      <c r="HT16" s="214"/>
      <c r="HU16" s="214"/>
      <c r="HV16" s="214"/>
      <c r="HW16" s="214"/>
      <c r="HX16" s="214"/>
      <c r="HY16" s="214"/>
      <c r="HZ16" s="214"/>
      <c r="IA16" s="214"/>
      <c r="IB16" s="214"/>
      <c r="IC16" s="214"/>
      <c r="ID16" s="214"/>
      <c r="IE16" s="214"/>
      <c r="IF16" s="214"/>
      <c r="IG16" s="214"/>
      <c r="IH16" s="214"/>
      <c r="II16" s="214"/>
      <c r="IJ16" s="214"/>
      <c r="IK16" s="214"/>
      <c r="IL16" s="214"/>
      <c r="IM16" s="214"/>
      <c r="IN16" s="214"/>
      <c r="IO16" s="214"/>
      <c r="IP16" s="214"/>
      <c r="IQ16" s="214"/>
      <c r="IR16" s="214"/>
      <c r="IS16" s="214"/>
      <c r="IT16" s="214"/>
      <c r="IU16" s="214"/>
      <c r="IV16" s="214"/>
      <c r="IW16" s="214"/>
      <c r="IX16" s="214"/>
      <c r="IY16" s="214"/>
      <c r="IZ16" s="214"/>
      <c r="JA16" s="214"/>
      <c r="JB16" s="214"/>
      <c r="JC16" s="214"/>
      <c r="JD16" s="214"/>
      <c r="JE16" s="214"/>
      <c r="JF16" s="214"/>
      <c r="JG16" s="214"/>
      <c r="JH16" s="214"/>
      <c r="JI16" s="214"/>
      <c r="JJ16" s="214"/>
      <c r="JK16" s="214"/>
      <c r="JL16" s="214"/>
      <c r="JM16" s="214"/>
      <c r="JN16" s="214"/>
      <c r="JO16" s="214"/>
      <c r="JP16" s="214"/>
      <c r="JQ16" s="214"/>
      <c r="JR16" s="214"/>
      <c r="JS16" s="214"/>
      <c r="JT16" s="214"/>
      <c r="JU16" s="214"/>
      <c r="JV16" s="214"/>
      <c r="JW16" s="214"/>
      <c r="JX16" s="214"/>
      <c r="JY16" s="214"/>
      <c r="JZ16" s="214"/>
      <c r="KA16" s="214"/>
      <c r="KB16" s="214"/>
      <c r="KC16" s="214"/>
      <c r="KD16" s="214"/>
      <c r="KE16" s="214"/>
      <c r="KF16" s="214"/>
      <c r="KG16" s="214"/>
      <c r="KH16" s="214"/>
      <c r="KI16" s="214"/>
      <c r="KJ16" s="214"/>
      <c r="KK16" s="214"/>
      <c r="KL16" s="214"/>
      <c r="KM16" s="214"/>
      <c r="KN16" s="214"/>
      <c r="KO16" s="214"/>
      <c r="KP16" s="214"/>
      <c r="KQ16" s="214"/>
      <c r="KR16" s="214"/>
      <c r="KS16" s="214"/>
      <c r="KT16" s="214"/>
      <c r="KU16" s="214"/>
      <c r="KV16" s="214"/>
      <c r="KW16" s="214"/>
      <c r="KX16" s="214"/>
      <c r="KY16" s="214"/>
      <c r="KZ16" s="214"/>
      <c r="LA16" s="214"/>
      <c r="LB16" s="214"/>
      <c r="LC16" s="214"/>
      <c r="LD16" s="214"/>
      <c r="LE16" s="214"/>
      <c r="LF16" s="214"/>
      <c r="LG16" s="214"/>
      <c r="LH16" s="214"/>
      <c r="LI16" s="214"/>
      <c r="LJ16" s="214"/>
      <c r="LK16" s="214"/>
      <c r="LL16" s="214"/>
      <c r="LM16" s="214"/>
      <c r="LN16" s="214"/>
      <c r="LO16" s="214"/>
      <c r="LP16" s="214"/>
      <c r="LQ16" s="214"/>
      <c r="LR16" s="214"/>
      <c r="LS16" s="214"/>
      <c r="LT16" s="214"/>
      <c r="LU16" s="214"/>
      <c r="LV16" s="214"/>
      <c r="LW16" s="214"/>
      <c r="LX16" s="214"/>
      <c r="LY16" s="214"/>
      <c r="LZ16" s="214"/>
      <c r="MA16" s="214"/>
      <c r="MB16" s="214"/>
      <c r="MC16" s="214"/>
      <c r="MD16" s="214"/>
      <c r="ME16" s="214"/>
      <c r="MF16" s="214"/>
      <c r="MG16" s="214"/>
      <c r="MH16" s="214"/>
      <c r="MI16" s="214"/>
      <c r="MJ16" s="214"/>
      <c r="MK16" s="214"/>
      <c r="ML16" s="214"/>
      <c r="MM16" s="214"/>
      <c r="MN16" s="214"/>
      <c r="MO16" s="214"/>
      <c r="MP16" s="214"/>
      <c r="MQ16" s="214"/>
      <c r="MR16" s="214"/>
      <c r="MS16" s="214"/>
      <c r="MT16" s="214"/>
      <c r="MU16" s="214"/>
      <c r="MV16" s="214"/>
      <c r="MW16" s="214"/>
      <c r="MX16" s="214"/>
      <c r="MY16" s="214"/>
      <c r="MZ16" s="214"/>
      <c r="NA16" s="214"/>
      <c r="NB16" s="214"/>
      <c r="NC16" s="214"/>
      <c r="ND16" s="214"/>
      <c r="NE16" s="214"/>
      <c r="NF16" s="214"/>
      <c r="NG16" s="214"/>
      <c r="NH16" s="214"/>
      <c r="NI16" s="214"/>
      <c r="NJ16" s="214"/>
      <c r="NK16" s="214"/>
      <c r="NL16" s="214"/>
      <c r="NM16" s="214"/>
      <c r="NN16" s="214"/>
      <c r="NO16" s="214"/>
      <c r="NP16" s="214"/>
      <c r="NQ16" s="214"/>
      <c r="NR16" s="214"/>
      <c r="NS16" s="214"/>
      <c r="NT16" s="214"/>
      <c r="NU16" s="214"/>
      <c r="NV16" s="214"/>
      <c r="NW16" s="214"/>
      <c r="NX16" s="214"/>
      <c r="NY16" s="214"/>
      <c r="NZ16" s="214"/>
      <c r="OA16" s="214"/>
      <c r="OB16" s="214"/>
      <c r="OC16" s="214"/>
      <c r="OD16" s="214"/>
      <c r="OE16" s="214"/>
      <c r="OF16" s="214"/>
      <c r="OG16" s="214"/>
      <c r="OH16" s="214"/>
      <c r="OI16" s="214"/>
      <c r="OJ16" s="214"/>
      <c r="OK16" s="214"/>
      <c r="OL16" s="214"/>
      <c r="OM16" s="214"/>
      <c r="ON16" s="214"/>
      <c r="OO16" s="214"/>
      <c r="OP16" s="214"/>
      <c r="OQ16" s="214"/>
      <c r="OR16" s="214"/>
      <c r="OS16" s="214"/>
      <c r="OT16" s="214"/>
      <c r="OU16" s="214"/>
      <c r="OV16" s="214"/>
      <c r="OW16" s="214"/>
      <c r="OX16" s="214"/>
      <c r="OY16" s="214"/>
      <c r="OZ16" s="214"/>
      <c r="PA16" s="214"/>
      <c r="PB16" s="214"/>
      <c r="PC16" s="214"/>
      <c r="PD16" s="214"/>
      <c r="PE16" s="214"/>
      <c r="PF16" s="214"/>
      <c r="PG16" s="214"/>
      <c r="PH16" s="214"/>
      <c r="PI16" s="214"/>
      <c r="PJ16" s="214"/>
      <c r="PK16" s="214"/>
      <c r="PL16" s="214"/>
      <c r="PM16" s="214"/>
      <c r="PN16" s="214"/>
      <c r="PO16" s="214"/>
      <c r="PP16" s="214"/>
      <c r="PQ16" s="214"/>
      <c r="PR16" s="214"/>
      <c r="PS16" s="214"/>
      <c r="PT16" s="214"/>
      <c r="PU16" s="214"/>
      <c r="PV16" s="214"/>
      <c r="PW16" s="214"/>
      <c r="PX16" s="214"/>
      <c r="PY16" s="214"/>
      <c r="PZ16" s="214"/>
      <c r="QA16" s="214"/>
      <c r="QB16" s="214"/>
      <c r="QC16" s="214"/>
      <c r="QD16" s="214"/>
      <c r="QE16" s="214"/>
      <c r="QF16" s="214"/>
      <c r="QG16" s="214"/>
      <c r="QH16" s="214"/>
      <c r="QI16" s="214"/>
      <c r="QJ16" s="214"/>
      <c r="QK16" s="214"/>
      <c r="QL16" s="214"/>
      <c r="QM16" s="214"/>
      <c r="QN16" s="214"/>
      <c r="QO16" s="214"/>
      <c r="QP16" s="214"/>
      <c r="QQ16" s="214"/>
      <c r="QR16" s="214"/>
      <c r="QS16" s="214"/>
      <c r="QT16" s="214"/>
      <c r="QU16" s="214"/>
      <c r="QV16" s="214"/>
      <c r="QW16" s="214"/>
      <c r="QX16" s="214"/>
      <c r="QY16" s="214"/>
      <c r="QZ16" s="214"/>
      <c r="RA16" s="214"/>
      <c r="RB16" s="214"/>
      <c r="RC16" s="214"/>
      <c r="RD16" s="214"/>
      <c r="RE16" s="214"/>
      <c r="RF16" s="214"/>
      <c r="RG16" s="214"/>
      <c r="RH16" s="214"/>
      <c r="RI16" s="214"/>
      <c r="RJ16" s="214"/>
      <c r="RK16" s="214"/>
      <c r="RL16" s="214"/>
      <c r="RM16" s="214"/>
      <c r="RN16" s="214"/>
      <c r="RO16" s="214"/>
      <c r="RP16" s="214"/>
      <c r="RQ16" s="214"/>
      <c r="RR16" s="214"/>
      <c r="RS16" s="214"/>
      <c r="RT16" s="214"/>
      <c r="RU16" s="214"/>
      <c r="RV16" s="214"/>
      <c r="RW16" s="214"/>
      <c r="RX16" s="214"/>
      <c r="RY16" s="214"/>
      <c r="RZ16" s="214"/>
      <c r="SA16" s="214"/>
      <c r="SB16" s="214"/>
      <c r="SC16" s="214"/>
      <c r="SD16" s="214"/>
      <c r="SE16" s="214"/>
      <c r="SF16" s="214"/>
      <c r="SG16" s="214"/>
      <c r="SH16" s="214"/>
      <c r="SI16" s="214"/>
      <c r="SJ16" s="214"/>
      <c r="SK16" s="214"/>
      <c r="SL16" s="214"/>
      <c r="SM16" s="214"/>
      <c r="SN16" s="214"/>
      <c r="SO16" s="214"/>
      <c r="SP16" s="214"/>
      <c r="SQ16" s="214"/>
      <c r="SR16" s="214"/>
      <c r="SS16" s="214"/>
      <c r="ST16" s="214"/>
      <c r="SU16" s="214"/>
      <c r="SV16" s="214"/>
      <c r="SW16" s="214"/>
      <c r="SX16" s="214"/>
      <c r="SY16" s="214"/>
      <c r="SZ16" s="214"/>
      <c r="TA16" s="214"/>
      <c r="TB16" s="214"/>
      <c r="TC16" s="214"/>
      <c r="TD16" s="214"/>
      <c r="TE16" s="214"/>
      <c r="TF16" s="214"/>
      <c r="TG16" s="214"/>
      <c r="TH16" s="214"/>
      <c r="TI16" s="214"/>
      <c r="TJ16" s="214"/>
      <c r="TK16" s="214"/>
      <c r="TL16" s="214"/>
      <c r="TM16" s="214"/>
      <c r="TN16" s="214"/>
      <c r="TO16" s="214"/>
      <c r="TP16" s="214"/>
      <c r="TQ16" s="214"/>
      <c r="TR16" s="214"/>
      <c r="TS16" s="214"/>
      <c r="TT16" s="214"/>
      <c r="TU16" s="214"/>
      <c r="TV16" s="214"/>
      <c r="TW16" s="214"/>
      <c r="TX16" s="214"/>
      <c r="TY16" s="214"/>
      <c r="TZ16" s="214"/>
      <c r="UA16" s="214"/>
      <c r="UB16" s="214"/>
      <c r="UC16" s="214"/>
      <c r="UD16" s="214"/>
      <c r="UE16" s="214"/>
      <c r="UF16" s="214"/>
      <c r="UG16" s="214"/>
      <c r="UH16" s="214"/>
      <c r="UI16" s="214"/>
      <c r="UJ16" s="214"/>
      <c r="UK16" s="214"/>
      <c r="UL16" s="214"/>
      <c r="UM16" s="214"/>
      <c r="UN16" s="214"/>
      <c r="UO16" s="214"/>
      <c r="UP16" s="214"/>
      <c r="UQ16" s="214"/>
      <c r="UR16" s="214"/>
      <c r="US16" s="214"/>
      <c r="UT16" s="214"/>
      <c r="UU16" s="214"/>
      <c r="UV16" s="214"/>
      <c r="UW16" s="214"/>
      <c r="UX16" s="214"/>
      <c r="UY16" s="214"/>
      <c r="UZ16" s="214"/>
      <c r="VA16" s="214"/>
      <c r="VB16" s="214"/>
      <c r="VC16" s="214"/>
      <c r="VD16" s="214"/>
      <c r="VE16" s="214"/>
      <c r="VF16" s="214"/>
      <c r="VG16" s="214"/>
      <c r="VH16" s="214"/>
      <c r="VI16" s="214"/>
      <c r="VJ16" s="214"/>
      <c r="VK16" s="214"/>
      <c r="VL16" s="214"/>
      <c r="VM16" s="214"/>
      <c r="VN16" s="214"/>
      <c r="VO16" s="214"/>
      <c r="VP16" s="214"/>
      <c r="VQ16" s="214"/>
      <c r="VR16" s="214"/>
      <c r="VS16" s="214"/>
      <c r="VT16" s="214"/>
      <c r="VU16" s="214"/>
      <c r="VV16" s="214"/>
      <c r="VW16" s="214"/>
      <c r="VX16" s="214"/>
      <c r="VY16" s="214"/>
      <c r="VZ16" s="214"/>
      <c r="WA16" s="214"/>
      <c r="WB16" s="214"/>
      <c r="WC16" s="214"/>
      <c r="WD16" s="214"/>
      <c r="WE16" s="214"/>
      <c r="WF16" s="214"/>
      <c r="WG16" s="214"/>
      <c r="WH16" s="214"/>
      <c r="WI16" s="214"/>
      <c r="WJ16" s="214"/>
      <c r="WK16" s="214"/>
      <c r="WL16" s="214"/>
      <c r="WM16" s="214"/>
      <c r="WN16" s="214"/>
      <c r="WO16" s="214"/>
      <c r="WP16" s="214"/>
      <c r="WQ16" s="214"/>
      <c r="WR16" s="214"/>
      <c r="WS16" s="214"/>
      <c r="WT16" s="214"/>
      <c r="WU16" s="214"/>
      <c r="WV16" s="214"/>
      <c r="WW16" s="214"/>
      <c r="WX16" s="214"/>
      <c r="WY16" s="214"/>
      <c r="WZ16" s="214"/>
      <c r="XA16" s="214"/>
      <c r="XB16" s="214"/>
      <c r="XC16" s="214"/>
      <c r="XD16" s="214"/>
      <c r="XE16" s="214"/>
      <c r="XF16" s="214"/>
      <c r="XG16" s="214"/>
      <c r="XH16" s="214"/>
      <c r="XI16" s="214"/>
      <c r="XJ16" s="214"/>
      <c r="XK16" s="214"/>
      <c r="XL16" s="214"/>
      <c r="XM16" s="214"/>
      <c r="XN16" s="214"/>
      <c r="XO16" s="214"/>
      <c r="XP16" s="214"/>
      <c r="XQ16" s="214"/>
      <c r="XR16" s="214"/>
      <c r="XS16" s="214"/>
      <c r="XT16" s="214"/>
      <c r="XU16" s="214"/>
      <c r="XV16" s="214"/>
      <c r="XW16" s="214"/>
      <c r="XX16" s="214"/>
      <c r="XY16" s="214"/>
      <c r="XZ16" s="214"/>
      <c r="YA16" s="214"/>
      <c r="YB16" s="214"/>
      <c r="YC16" s="214"/>
      <c r="YD16" s="214"/>
      <c r="YE16" s="214"/>
      <c r="YF16" s="214"/>
      <c r="YG16" s="214"/>
      <c r="YH16" s="214"/>
      <c r="YI16" s="214"/>
      <c r="YJ16" s="214"/>
      <c r="YK16" s="214"/>
      <c r="YL16" s="214"/>
      <c r="YM16" s="214"/>
      <c r="YN16" s="214"/>
      <c r="YO16" s="214"/>
      <c r="YP16" s="214"/>
      <c r="YQ16" s="214"/>
      <c r="YR16" s="214"/>
      <c r="YS16" s="214"/>
      <c r="YT16" s="214"/>
      <c r="YU16" s="214"/>
      <c r="YV16" s="214"/>
      <c r="YW16" s="214"/>
      <c r="YX16" s="214"/>
      <c r="YY16" s="214"/>
      <c r="YZ16" s="214"/>
      <c r="ZA16" s="214"/>
      <c r="ZB16" s="214"/>
      <c r="ZC16" s="214"/>
      <c r="ZD16" s="214"/>
      <c r="ZE16" s="214"/>
      <c r="ZF16" s="214"/>
      <c r="ZG16" s="214"/>
      <c r="ZH16" s="214"/>
      <c r="ZI16" s="214"/>
      <c r="ZJ16" s="214"/>
      <c r="ZK16" s="214"/>
      <c r="ZL16" s="214"/>
      <c r="ZM16" s="214"/>
      <c r="ZN16" s="214"/>
      <c r="ZO16" s="214"/>
      <c r="ZP16" s="214"/>
      <c r="ZQ16" s="214"/>
      <c r="ZR16" s="214"/>
      <c r="ZS16" s="214"/>
      <c r="ZT16" s="214"/>
      <c r="ZU16" s="214"/>
      <c r="ZV16" s="214"/>
      <c r="ZW16" s="214"/>
    </row>
    <row r="17" spans="1:699" ht="15.75" customHeight="1" x14ac:dyDescent="0.2">
      <c r="A17" s="42"/>
      <c r="B17" s="234">
        <v>2016</v>
      </c>
      <c r="C17" s="235">
        <v>1100000</v>
      </c>
      <c r="D17" s="235">
        <v>1650000</v>
      </c>
      <c r="E17" s="237"/>
      <c r="F17" s="210"/>
      <c r="G17" s="61"/>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214"/>
      <c r="CV17" s="214"/>
      <c r="CW17" s="214"/>
      <c r="CX17" s="214"/>
      <c r="CY17" s="214"/>
      <c r="CZ17" s="214"/>
      <c r="DA17" s="214"/>
      <c r="DB17" s="214"/>
      <c r="DC17" s="214"/>
      <c r="DD17" s="214"/>
      <c r="DE17" s="214"/>
      <c r="DF17" s="214"/>
      <c r="DG17" s="214"/>
      <c r="DH17" s="214"/>
      <c r="DI17" s="214"/>
      <c r="DJ17" s="214"/>
      <c r="DK17" s="214"/>
      <c r="DL17" s="214"/>
      <c r="DM17" s="214"/>
      <c r="DN17" s="214"/>
      <c r="DO17" s="214"/>
      <c r="DP17" s="214"/>
      <c r="DQ17" s="214"/>
      <c r="DR17" s="214"/>
      <c r="DS17" s="214"/>
      <c r="DT17" s="214"/>
      <c r="DU17" s="214"/>
      <c r="DV17" s="214"/>
      <c r="DW17" s="214"/>
      <c r="DX17" s="214"/>
      <c r="DY17" s="214"/>
      <c r="DZ17" s="214"/>
      <c r="EA17" s="214"/>
      <c r="EB17" s="214"/>
      <c r="EC17" s="214"/>
      <c r="ED17" s="214"/>
      <c r="EE17" s="214"/>
      <c r="EF17" s="214"/>
      <c r="EG17" s="214"/>
      <c r="EH17" s="214"/>
      <c r="EI17" s="214"/>
      <c r="EJ17" s="214"/>
      <c r="EK17" s="214"/>
      <c r="EL17" s="214"/>
      <c r="EM17" s="214"/>
      <c r="EN17" s="214"/>
      <c r="EO17" s="214"/>
      <c r="EP17" s="214"/>
      <c r="EQ17" s="214"/>
      <c r="ER17" s="214"/>
      <c r="ES17" s="214"/>
      <c r="ET17" s="214"/>
      <c r="EU17" s="214"/>
      <c r="EV17" s="214"/>
      <c r="EW17" s="214"/>
      <c r="EX17" s="214"/>
      <c r="EY17" s="214"/>
      <c r="EZ17" s="214"/>
      <c r="FA17" s="214"/>
      <c r="FB17" s="214"/>
      <c r="FC17" s="214"/>
      <c r="FD17" s="214"/>
      <c r="FE17" s="214"/>
      <c r="FF17" s="214"/>
      <c r="FG17" s="214"/>
      <c r="FH17" s="214"/>
      <c r="FI17" s="214"/>
      <c r="FJ17" s="214"/>
      <c r="FK17" s="214"/>
      <c r="FL17" s="214"/>
      <c r="FM17" s="214"/>
      <c r="FN17" s="214"/>
      <c r="FO17" s="214"/>
      <c r="FP17" s="214"/>
      <c r="FQ17" s="214"/>
      <c r="FR17" s="214"/>
      <c r="FS17" s="214"/>
      <c r="FT17" s="214"/>
      <c r="FU17" s="214"/>
      <c r="FV17" s="214"/>
      <c r="FW17" s="214"/>
      <c r="FX17" s="214"/>
      <c r="FY17" s="214"/>
      <c r="FZ17" s="214"/>
      <c r="GA17" s="214"/>
      <c r="GB17" s="214"/>
      <c r="GC17" s="214"/>
      <c r="GD17" s="214"/>
      <c r="GE17" s="214"/>
      <c r="GF17" s="214"/>
      <c r="GG17" s="214"/>
      <c r="GH17" s="214"/>
      <c r="GI17" s="214"/>
      <c r="GJ17" s="214"/>
      <c r="GK17" s="214"/>
      <c r="GL17" s="214"/>
      <c r="GM17" s="214"/>
      <c r="GN17" s="214"/>
      <c r="GO17" s="214"/>
      <c r="GP17" s="214"/>
      <c r="GQ17" s="214"/>
      <c r="GR17" s="214"/>
      <c r="GS17" s="214"/>
      <c r="GT17" s="214"/>
      <c r="GU17" s="214"/>
      <c r="GV17" s="214"/>
      <c r="GW17" s="214"/>
      <c r="GX17" s="214"/>
      <c r="GY17" s="214"/>
      <c r="GZ17" s="214"/>
      <c r="HA17" s="214"/>
      <c r="HB17" s="214"/>
      <c r="HC17" s="214"/>
      <c r="HD17" s="214"/>
      <c r="HE17" s="214"/>
      <c r="HF17" s="214"/>
      <c r="HG17" s="214"/>
      <c r="HH17" s="214"/>
      <c r="HI17" s="214"/>
      <c r="HJ17" s="214"/>
      <c r="HK17" s="214"/>
      <c r="HL17" s="214"/>
      <c r="HM17" s="214"/>
      <c r="HN17" s="214"/>
      <c r="HO17" s="214"/>
      <c r="HP17" s="214"/>
      <c r="HQ17" s="214"/>
      <c r="HR17" s="214"/>
      <c r="HS17" s="214"/>
      <c r="HT17" s="214"/>
      <c r="HU17" s="214"/>
      <c r="HV17" s="214"/>
      <c r="HW17" s="214"/>
      <c r="HX17" s="214"/>
      <c r="HY17" s="214"/>
      <c r="HZ17" s="214"/>
      <c r="IA17" s="214"/>
      <c r="IB17" s="214"/>
      <c r="IC17" s="214"/>
      <c r="ID17" s="214"/>
      <c r="IE17" s="214"/>
      <c r="IF17" s="214"/>
      <c r="IG17" s="214"/>
      <c r="IH17" s="214"/>
      <c r="II17" s="214"/>
      <c r="IJ17" s="214"/>
      <c r="IK17" s="214"/>
      <c r="IL17" s="214"/>
      <c r="IM17" s="214"/>
      <c r="IN17" s="214"/>
      <c r="IO17" s="214"/>
      <c r="IP17" s="214"/>
      <c r="IQ17" s="214"/>
      <c r="IR17" s="214"/>
      <c r="IS17" s="214"/>
      <c r="IT17" s="214"/>
      <c r="IU17" s="214"/>
      <c r="IV17" s="214"/>
      <c r="IW17" s="214"/>
      <c r="IX17" s="214"/>
      <c r="IY17" s="214"/>
      <c r="IZ17" s="214"/>
      <c r="JA17" s="214"/>
      <c r="JB17" s="214"/>
      <c r="JC17" s="214"/>
      <c r="JD17" s="214"/>
      <c r="JE17" s="214"/>
      <c r="JF17" s="214"/>
      <c r="JG17" s="214"/>
      <c r="JH17" s="214"/>
      <c r="JI17" s="214"/>
      <c r="JJ17" s="214"/>
      <c r="JK17" s="214"/>
      <c r="JL17" s="214"/>
      <c r="JM17" s="214"/>
      <c r="JN17" s="214"/>
      <c r="JO17" s="214"/>
      <c r="JP17" s="214"/>
      <c r="JQ17" s="214"/>
      <c r="JR17" s="214"/>
      <c r="JS17" s="214"/>
      <c r="JT17" s="214"/>
      <c r="JU17" s="214"/>
      <c r="JV17" s="214"/>
      <c r="JW17" s="214"/>
      <c r="JX17" s="214"/>
      <c r="JY17" s="214"/>
      <c r="JZ17" s="214"/>
      <c r="KA17" s="214"/>
      <c r="KB17" s="214"/>
      <c r="KC17" s="214"/>
      <c r="KD17" s="214"/>
      <c r="KE17" s="214"/>
      <c r="KF17" s="214"/>
      <c r="KG17" s="214"/>
      <c r="KH17" s="214"/>
      <c r="KI17" s="214"/>
      <c r="KJ17" s="214"/>
      <c r="KK17" s="214"/>
      <c r="KL17" s="214"/>
      <c r="KM17" s="214"/>
      <c r="KN17" s="214"/>
      <c r="KO17" s="214"/>
      <c r="KP17" s="214"/>
      <c r="KQ17" s="214"/>
      <c r="KR17" s="214"/>
      <c r="KS17" s="214"/>
      <c r="KT17" s="214"/>
      <c r="KU17" s="214"/>
      <c r="KV17" s="214"/>
      <c r="KW17" s="214"/>
      <c r="KX17" s="214"/>
      <c r="KY17" s="214"/>
      <c r="KZ17" s="214"/>
      <c r="LA17" s="214"/>
      <c r="LB17" s="214"/>
      <c r="LC17" s="214"/>
      <c r="LD17" s="214"/>
      <c r="LE17" s="214"/>
      <c r="LF17" s="214"/>
      <c r="LG17" s="214"/>
      <c r="LH17" s="214"/>
      <c r="LI17" s="214"/>
      <c r="LJ17" s="214"/>
      <c r="LK17" s="214"/>
      <c r="LL17" s="214"/>
      <c r="LM17" s="214"/>
      <c r="LN17" s="214"/>
      <c r="LO17" s="214"/>
      <c r="LP17" s="214"/>
      <c r="LQ17" s="214"/>
      <c r="LR17" s="214"/>
      <c r="LS17" s="214"/>
      <c r="LT17" s="214"/>
      <c r="LU17" s="214"/>
      <c r="LV17" s="214"/>
      <c r="LW17" s="214"/>
      <c r="LX17" s="214"/>
      <c r="LY17" s="214"/>
      <c r="LZ17" s="214"/>
      <c r="MA17" s="214"/>
      <c r="MB17" s="214"/>
      <c r="MC17" s="214"/>
      <c r="MD17" s="214"/>
      <c r="ME17" s="214"/>
      <c r="MF17" s="214"/>
      <c r="MG17" s="214"/>
      <c r="MH17" s="214"/>
      <c r="MI17" s="214"/>
      <c r="MJ17" s="214"/>
      <c r="MK17" s="214"/>
      <c r="ML17" s="214"/>
      <c r="MM17" s="214"/>
      <c r="MN17" s="214"/>
      <c r="MO17" s="214"/>
      <c r="MP17" s="214"/>
      <c r="MQ17" s="214"/>
      <c r="MR17" s="214"/>
      <c r="MS17" s="214"/>
      <c r="MT17" s="214"/>
      <c r="MU17" s="214"/>
      <c r="MV17" s="214"/>
      <c r="MW17" s="214"/>
      <c r="MX17" s="214"/>
      <c r="MY17" s="214"/>
      <c r="MZ17" s="214"/>
      <c r="NA17" s="214"/>
      <c r="NB17" s="214"/>
      <c r="NC17" s="214"/>
      <c r="ND17" s="214"/>
      <c r="NE17" s="214"/>
      <c r="NF17" s="214"/>
      <c r="NG17" s="214"/>
      <c r="NH17" s="214"/>
      <c r="NI17" s="214"/>
      <c r="NJ17" s="214"/>
      <c r="NK17" s="214"/>
      <c r="NL17" s="214"/>
      <c r="NM17" s="214"/>
      <c r="NN17" s="214"/>
      <c r="NO17" s="214"/>
      <c r="NP17" s="214"/>
      <c r="NQ17" s="214"/>
      <c r="NR17" s="214"/>
      <c r="NS17" s="214"/>
      <c r="NT17" s="214"/>
      <c r="NU17" s="214"/>
      <c r="NV17" s="214"/>
      <c r="NW17" s="214"/>
      <c r="NX17" s="214"/>
      <c r="NY17" s="214"/>
      <c r="NZ17" s="214"/>
      <c r="OA17" s="214"/>
      <c r="OB17" s="214"/>
      <c r="OC17" s="214"/>
      <c r="OD17" s="214"/>
      <c r="OE17" s="214"/>
      <c r="OF17" s="214"/>
      <c r="OG17" s="214"/>
      <c r="OH17" s="214"/>
      <c r="OI17" s="214"/>
      <c r="OJ17" s="214"/>
      <c r="OK17" s="214"/>
      <c r="OL17" s="214"/>
      <c r="OM17" s="214"/>
      <c r="ON17" s="214"/>
      <c r="OO17" s="214"/>
      <c r="OP17" s="214"/>
      <c r="OQ17" s="214"/>
      <c r="OR17" s="214"/>
      <c r="OS17" s="214"/>
      <c r="OT17" s="214"/>
      <c r="OU17" s="214"/>
      <c r="OV17" s="214"/>
      <c r="OW17" s="214"/>
      <c r="OX17" s="214"/>
      <c r="OY17" s="214"/>
      <c r="OZ17" s="214"/>
      <c r="PA17" s="214"/>
      <c r="PB17" s="214"/>
      <c r="PC17" s="214"/>
      <c r="PD17" s="214"/>
      <c r="PE17" s="214"/>
      <c r="PF17" s="214"/>
      <c r="PG17" s="214"/>
      <c r="PH17" s="214"/>
      <c r="PI17" s="214"/>
      <c r="PJ17" s="214"/>
      <c r="PK17" s="214"/>
      <c r="PL17" s="214"/>
      <c r="PM17" s="214"/>
      <c r="PN17" s="214"/>
      <c r="PO17" s="214"/>
      <c r="PP17" s="214"/>
      <c r="PQ17" s="214"/>
      <c r="PR17" s="214"/>
      <c r="PS17" s="214"/>
      <c r="PT17" s="214"/>
      <c r="PU17" s="214"/>
      <c r="PV17" s="214"/>
      <c r="PW17" s="214"/>
      <c r="PX17" s="214"/>
      <c r="PY17" s="214"/>
      <c r="PZ17" s="214"/>
      <c r="QA17" s="214"/>
      <c r="QB17" s="214"/>
      <c r="QC17" s="214"/>
      <c r="QD17" s="214"/>
      <c r="QE17" s="214"/>
      <c r="QF17" s="214"/>
      <c r="QG17" s="214"/>
      <c r="QH17" s="214"/>
      <c r="QI17" s="214"/>
      <c r="QJ17" s="214"/>
      <c r="QK17" s="214"/>
      <c r="QL17" s="214"/>
      <c r="QM17" s="214"/>
      <c r="QN17" s="214"/>
      <c r="QO17" s="214"/>
      <c r="QP17" s="214"/>
      <c r="QQ17" s="214"/>
      <c r="QR17" s="214"/>
      <c r="QS17" s="214"/>
      <c r="QT17" s="214"/>
      <c r="QU17" s="214"/>
      <c r="QV17" s="214"/>
      <c r="QW17" s="214"/>
      <c r="QX17" s="214"/>
      <c r="QY17" s="214"/>
      <c r="QZ17" s="214"/>
      <c r="RA17" s="214"/>
      <c r="RB17" s="214"/>
      <c r="RC17" s="214"/>
      <c r="RD17" s="214"/>
      <c r="RE17" s="214"/>
      <c r="RF17" s="214"/>
      <c r="RG17" s="214"/>
      <c r="RH17" s="214"/>
      <c r="RI17" s="214"/>
      <c r="RJ17" s="214"/>
      <c r="RK17" s="214"/>
      <c r="RL17" s="214"/>
      <c r="RM17" s="214"/>
      <c r="RN17" s="214"/>
      <c r="RO17" s="214"/>
      <c r="RP17" s="214"/>
      <c r="RQ17" s="214"/>
      <c r="RR17" s="214"/>
      <c r="RS17" s="214"/>
      <c r="RT17" s="214"/>
      <c r="RU17" s="214"/>
      <c r="RV17" s="214"/>
      <c r="RW17" s="214"/>
      <c r="RX17" s="214"/>
      <c r="RY17" s="214"/>
      <c r="RZ17" s="214"/>
      <c r="SA17" s="214"/>
      <c r="SB17" s="214"/>
      <c r="SC17" s="214"/>
      <c r="SD17" s="214"/>
      <c r="SE17" s="214"/>
      <c r="SF17" s="214"/>
      <c r="SG17" s="214"/>
      <c r="SH17" s="214"/>
      <c r="SI17" s="214"/>
      <c r="SJ17" s="214"/>
      <c r="SK17" s="214"/>
      <c r="SL17" s="214"/>
      <c r="SM17" s="214"/>
      <c r="SN17" s="214"/>
      <c r="SO17" s="214"/>
      <c r="SP17" s="214"/>
      <c r="SQ17" s="214"/>
      <c r="SR17" s="214"/>
      <c r="SS17" s="214"/>
      <c r="ST17" s="214"/>
      <c r="SU17" s="214"/>
      <c r="SV17" s="214"/>
      <c r="SW17" s="214"/>
      <c r="SX17" s="214"/>
      <c r="SY17" s="214"/>
      <c r="SZ17" s="214"/>
      <c r="TA17" s="214"/>
      <c r="TB17" s="214"/>
      <c r="TC17" s="214"/>
      <c r="TD17" s="214"/>
      <c r="TE17" s="214"/>
      <c r="TF17" s="214"/>
      <c r="TG17" s="214"/>
      <c r="TH17" s="214"/>
      <c r="TI17" s="214"/>
      <c r="TJ17" s="214"/>
      <c r="TK17" s="214"/>
      <c r="TL17" s="214"/>
      <c r="TM17" s="214"/>
      <c r="TN17" s="214"/>
      <c r="TO17" s="214"/>
      <c r="TP17" s="214"/>
      <c r="TQ17" s="214"/>
      <c r="TR17" s="214"/>
      <c r="TS17" s="214"/>
      <c r="TT17" s="214"/>
      <c r="TU17" s="214"/>
      <c r="TV17" s="214"/>
      <c r="TW17" s="214"/>
      <c r="TX17" s="214"/>
      <c r="TY17" s="214"/>
      <c r="TZ17" s="214"/>
      <c r="UA17" s="214"/>
      <c r="UB17" s="214"/>
      <c r="UC17" s="214"/>
      <c r="UD17" s="214"/>
      <c r="UE17" s="214"/>
      <c r="UF17" s="214"/>
      <c r="UG17" s="214"/>
      <c r="UH17" s="214"/>
      <c r="UI17" s="214"/>
      <c r="UJ17" s="214"/>
      <c r="UK17" s="214"/>
      <c r="UL17" s="214"/>
      <c r="UM17" s="214"/>
      <c r="UN17" s="214"/>
      <c r="UO17" s="214"/>
      <c r="UP17" s="214"/>
      <c r="UQ17" s="214"/>
      <c r="UR17" s="214"/>
      <c r="US17" s="214"/>
      <c r="UT17" s="214"/>
      <c r="UU17" s="214"/>
      <c r="UV17" s="214"/>
      <c r="UW17" s="214"/>
      <c r="UX17" s="214"/>
      <c r="UY17" s="214"/>
      <c r="UZ17" s="214"/>
      <c r="VA17" s="214"/>
      <c r="VB17" s="214"/>
      <c r="VC17" s="214"/>
      <c r="VD17" s="214"/>
      <c r="VE17" s="214"/>
      <c r="VF17" s="214"/>
      <c r="VG17" s="214"/>
      <c r="VH17" s="214"/>
      <c r="VI17" s="214"/>
      <c r="VJ17" s="214"/>
      <c r="VK17" s="214"/>
      <c r="VL17" s="214"/>
      <c r="VM17" s="214"/>
      <c r="VN17" s="214"/>
      <c r="VO17" s="214"/>
      <c r="VP17" s="214"/>
      <c r="VQ17" s="214"/>
      <c r="VR17" s="214"/>
      <c r="VS17" s="214"/>
      <c r="VT17" s="214"/>
      <c r="VU17" s="214"/>
      <c r="VV17" s="214"/>
      <c r="VW17" s="214"/>
      <c r="VX17" s="214"/>
      <c r="VY17" s="214"/>
      <c r="VZ17" s="214"/>
      <c r="WA17" s="214"/>
      <c r="WB17" s="214"/>
      <c r="WC17" s="214"/>
      <c r="WD17" s="214"/>
      <c r="WE17" s="214"/>
      <c r="WF17" s="214"/>
      <c r="WG17" s="214"/>
      <c r="WH17" s="214"/>
      <c r="WI17" s="214"/>
      <c r="WJ17" s="214"/>
      <c r="WK17" s="214"/>
      <c r="WL17" s="214"/>
      <c r="WM17" s="214"/>
      <c r="WN17" s="214"/>
      <c r="WO17" s="214"/>
      <c r="WP17" s="214"/>
      <c r="WQ17" s="214"/>
      <c r="WR17" s="214"/>
      <c r="WS17" s="214"/>
      <c r="WT17" s="214"/>
      <c r="WU17" s="214"/>
      <c r="WV17" s="214"/>
      <c r="WW17" s="214"/>
      <c r="WX17" s="214"/>
      <c r="WY17" s="214"/>
      <c r="WZ17" s="214"/>
      <c r="XA17" s="214"/>
      <c r="XB17" s="214"/>
      <c r="XC17" s="214"/>
      <c r="XD17" s="214"/>
      <c r="XE17" s="214"/>
      <c r="XF17" s="214"/>
      <c r="XG17" s="214"/>
      <c r="XH17" s="214"/>
      <c r="XI17" s="214"/>
      <c r="XJ17" s="214"/>
      <c r="XK17" s="214"/>
      <c r="XL17" s="214"/>
      <c r="XM17" s="214"/>
      <c r="XN17" s="214"/>
      <c r="XO17" s="214"/>
      <c r="XP17" s="214"/>
      <c r="XQ17" s="214"/>
      <c r="XR17" s="214"/>
      <c r="XS17" s="214"/>
      <c r="XT17" s="214"/>
      <c r="XU17" s="214"/>
      <c r="XV17" s="214"/>
      <c r="XW17" s="214"/>
      <c r="XX17" s="214"/>
      <c r="XY17" s="214"/>
      <c r="XZ17" s="214"/>
      <c r="YA17" s="214"/>
      <c r="YB17" s="214"/>
      <c r="YC17" s="214"/>
      <c r="YD17" s="214"/>
      <c r="YE17" s="214"/>
      <c r="YF17" s="214"/>
      <c r="YG17" s="214"/>
      <c r="YH17" s="214"/>
      <c r="YI17" s="214"/>
      <c r="YJ17" s="214"/>
      <c r="YK17" s="214"/>
      <c r="YL17" s="214"/>
      <c r="YM17" s="214"/>
      <c r="YN17" s="214"/>
      <c r="YO17" s="214"/>
      <c r="YP17" s="214"/>
      <c r="YQ17" s="214"/>
      <c r="YR17" s="214"/>
      <c r="YS17" s="214"/>
      <c r="YT17" s="214"/>
      <c r="YU17" s="214"/>
      <c r="YV17" s="214"/>
      <c r="YW17" s="214"/>
      <c r="YX17" s="214"/>
      <c r="YY17" s="214"/>
      <c r="YZ17" s="214"/>
      <c r="ZA17" s="214"/>
      <c r="ZB17" s="214"/>
      <c r="ZC17" s="214"/>
      <c r="ZD17" s="214"/>
      <c r="ZE17" s="214"/>
      <c r="ZF17" s="214"/>
      <c r="ZG17" s="214"/>
      <c r="ZH17" s="214"/>
      <c r="ZI17" s="214"/>
      <c r="ZJ17" s="214"/>
      <c r="ZK17" s="214"/>
      <c r="ZL17" s="214"/>
      <c r="ZM17" s="214"/>
      <c r="ZN17" s="214"/>
      <c r="ZO17" s="214"/>
      <c r="ZP17" s="214"/>
      <c r="ZQ17" s="214"/>
      <c r="ZR17" s="214"/>
      <c r="ZS17" s="214"/>
      <c r="ZT17" s="214"/>
      <c r="ZU17" s="214"/>
      <c r="ZV17" s="214"/>
      <c r="ZW17" s="214"/>
    </row>
    <row r="18" spans="1:699" ht="15.75" customHeight="1" thickBot="1" x14ac:dyDescent="0.25">
      <c r="A18" s="42"/>
      <c r="B18" s="230">
        <v>2017</v>
      </c>
      <c r="C18" s="238">
        <v>900000</v>
      </c>
      <c r="D18" s="239"/>
      <c r="E18" s="240"/>
      <c r="F18" s="210"/>
      <c r="G18" s="61"/>
      <c r="H18" s="200" t="s">
        <v>166</v>
      </c>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row>
    <row r="19" spans="1:699" ht="15.75" customHeight="1" thickBot="1" x14ac:dyDescent="0.25">
      <c r="A19" s="42"/>
      <c r="B19" s="213"/>
      <c r="C19" s="209"/>
      <c r="D19" s="209"/>
      <c r="E19" s="209"/>
      <c r="F19" s="210"/>
      <c r="G19" s="61"/>
      <c r="H19" s="200" t="s">
        <v>282</v>
      </c>
      <c r="I19" s="200" t="s">
        <v>6</v>
      </c>
      <c r="J19" s="200" t="s">
        <v>8</v>
      </c>
      <c r="K19" s="200" t="s">
        <v>11</v>
      </c>
      <c r="L19" s="200" t="s">
        <v>285</v>
      </c>
      <c r="M19" s="200" t="s">
        <v>166</v>
      </c>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row>
    <row r="20" spans="1:699" ht="15.75" customHeight="1" thickBot="1" x14ac:dyDescent="0.25">
      <c r="A20" s="42"/>
      <c r="B20" s="241">
        <v>0.05</v>
      </c>
      <c r="C20" s="242" t="s">
        <v>199</v>
      </c>
      <c r="D20" s="243"/>
      <c r="E20" s="244"/>
      <c r="F20" s="210"/>
      <c r="G20" s="61"/>
      <c r="H20" s="216">
        <v>2015</v>
      </c>
      <c r="I20" s="200">
        <v>1</v>
      </c>
      <c r="J20" s="200">
        <v>0</v>
      </c>
      <c r="K20" s="200">
        <v>0</v>
      </c>
      <c r="L20" s="200">
        <f>SUMPRODUCT(I20:K20,$I$23:$K$23)</f>
        <v>1</v>
      </c>
      <c r="M20" s="200">
        <f>$K$23/L20</f>
        <v>1.1340000000000001</v>
      </c>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row>
    <row r="21" spans="1:699" ht="15" customHeight="1" thickBot="1" x14ac:dyDescent="0.25">
      <c r="A21" s="42"/>
      <c r="B21" s="245">
        <v>0.02</v>
      </c>
      <c r="C21" s="246" t="s">
        <v>201</v>
      </c>
      <c r="D21" s="209"/>
      <c r="E21" s="247"/>
      <c r="F21" s="210"/>
      <c r="G21" s="61"/>
      <c r="H21" s="216">
        <v>2016</v>
      </c>
      <c r="I21" s="200">
        <f>1-J21</f>
        <v>0.875</v>
      </c>
      <c r="J21" s="200">
        <f>(1/2)^3</f>
        <v>0.125</v>
      </c>
      <c r="K21" s="200">
        <v>0</v>
      </c>
      <c r="L21" s="200">
        <f t="shared" ref="L21:L22" si="3">SUMPRODUCT(I21:K21,$I$23:$K$23)</f>
        <v>1.01</v>
      </c>
      <c r="M21" s="200">
        <f t="shared" ref="M21:M22" si="4">$K$23/L21</f>
        <v>1.1227722772277229</v>
      </c>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row>
    <row r="22" spans="1:699" ht="15" customHeight="1" x14ac:dyDescent="0.2">
      <c r="A22" s="42"/>
      <c r="B22" s="245">
        <v>0.06</v>
      </c>
      <c r="C22" s="246" t="s">
        <v>205</v>
      </c>
      <c r="D22" s="209"/>
      <c r="E22" s="247"/>
      <c r="F22" s="210"/>
      <c r="G22" s="61"/>
      <c r="H22" s="216">
        <v>2017</v>
      </c>
      <c r="I22" s="200">
        <f>1/8</f>
        <v>0.125</v>
      </c>
      <c r="J22" s="200">
        <f>1-I22-K22</f>
        <v>0.75</v>
      </c>
      <c r="K22" s="200">
        <f>1/8</f>
        <v>0.125</v>
      </c>
      <c r="L22" s="200">
        <f t="shared" si="3"/>
        <v>1.0767500000000001</v>
      </c>
      <c r="M22" s="200">
        <f t="shared" si="4"/>
        <v>1.053169259345252</v>
      </c>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row>
    <row r="23" spans="1:699" ht="15.75" customHeight="1" x14ac:dyDescent="0.2">
      <c r="A23" s="42"/>
      <c r="B23" s="245">
        <v>0.2</v>
      </c>
      <c r="C23" s="246" t="s">
        <v>206</v>
      </c>
      <c r="D23" s="209"/>
      <c r="E23" s="247"/>
      <c r="F23" s="210"/>
      <c r="G23" s="61"/>
      <c r="H23" s="200" t="s">
        <v>286</v>
      </c>
      <c r="I23" s="200">
        <v>1</v>
      </c>
      <c r="J23" s="200">
        <v>1.08</v>
      </c>
      <c r="K23" s="200">
        <f>1.05*1.08</f>
        <v>1.1340000000000001</v>
      </c>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row>
    <row r="24" spans="1:699" ht="15.75" customHeight="1" x14ac:dyDescent="0.2">
      <c r="A24" s="42"/>
      <c r="B24" s="245">
        <v>0.65</v>
      </c>
      <c r="C24" s="246" t="s">
        <v>207</v>
      </c>
      <c r="D24" s="209"/>
      <c r="E24" s="247"/>
      <c r="F24" s="210"/>
      <c r="G24" s="61"/>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row>
    <row r="25" spans="1:699" ht="15.75" customHeight="1" x14ac:dyDescent="0.2">
      <c r="A25" s="42"/>
      <c r="B25" s="245">
        <v>0.04</v>
      </c>
      <c r="C25" s="246" t="s">
        <v>208</v>
      </c>
      <c r="D25" s="209"/>
      <c r="E25" s="247"/>
      <c r="F25" s="210"/>
      <c r="G25" s="61"/>
      <c r="H25" s="200" t="s">
        <v>61</v>
      </c>
      <c r="I25" s="202" t="s">
        <v>183</v>
      </c>
      <c r="J25" s="200" t="s">
        <v>184</v>
      </c>
      <c r="K25" s="200" t="s">
        <v>185</v>
      </c>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row>
    <row r="26" spans="1:699" ht="15.75" customHeight="1" x14ac:dyDescent="0.2">
      <c r="A26" s="42"/>
      <c r="B26" s="245">
        <v>7.0000000000000007E-2</v>
      </c>
      <c r="C26" s="246" t="s">
        <v>209</v>
      </c>
      <c r="D26" s="209"/>
      <c r="E26" s="247"/>
      <c r="F26" s="39"/>
      <c r="G26" s="40"/>
      <c r="H26" s="200">
        <v>2015</v>
      </c>
      <c r="I26" s="200">
        <f>D16/C16</f>
        <v>1.5</v>
      </c>
      <c r="J26" s="200">
        <f>E16/D16</f>
        <v>1.1499999999999999</v>
      </c>
      <c r="K26" s="200">
        <v>1</v>
      </c>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row>
    <row r="27" spans="1:699" ht="15.75" customHeight="1" thickBot="1" x14ac:dyDescent="0.25">
      <c r="A27" s="42"/>
      <c r="B27" s="249"/>
      <c r="C27" s="250" t="s">
        <v>210</v>
      </c>
      <c r="D27" s="251"/>
      <c r="E27" s="252"/>
      <c r="F27" s="39"/>
      <c r="G27" s="40"/>
      <c r="H27" s="200">
        <v>2016</v>
      </c>
      <c r="I27" s="200">
        <f>D17/C17</f>
        <v>1.5</v>
      </c>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row>
    <row r="28" spans="1:699" ht="15.75" customHeight="1" x14ac:dyDescent="0.2">
      <c r="A28" s="42"/>
      <c r="B28" s="213"/>
      <c r="C28" s="209"/>
      <c r="D28" s="209"/>
      <c r="E28" s="209"/>
      <c r="F28" s="39"/>
      <c r="G28" s="40"/>
      <c r="H28" s="200" t="s">
        <v>287</v>
      </c>
      <c r="I28" s="200">
        <f>AVERAGE(I26:I27)</f>
        <v>1.5</v>
      </c>
      <c r="J28" s="200">
        <f t="shared" ref="J28:K28" si="5">AVERAGE(J26:J27)</f>
        <v>1.1499999999999999</v>
      </c>
      <c r="K28" s="200">
        <f t="shared" si="5"/>
        <v>1</v>
      </c>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row>
    <row r="29" spans="1:699" ht="15.75" customHeight="1" x14ac:dyDescent="0.2">
      <c r="A29" s="42"/>
      <c r="B29" s="88" t="s">
        <v>18</v>
      </c>
      <c r="C29" s="209"/>
      <c r="D29" s="209"/>
      <c r="E29" s="209"/>
      <c r="F29" s="39"/>
      <c r="G29" s="40"/>
      <c r="H29" s="200" t="s">
        <v>162</v>
      </c>
      <c r="I29" s="200">
        <f>PRODUCT(I28:$K$28)</f>
        <v>1.7249999999999999</v>
      </c>
      <c r="J29" s="200">
        <f>PRODUCT(J28:$K$28)</f>
        <v>1.1499999999999999</v>
      </c>
      <c r="K29" s="200">
        <f>PRODUCT(K28:$K$28)</f>
        <v>1</v>
      </c>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row>
    <row r="30" spans="1:699" ht="15.75" customHeight="1" x14ac:dyDescent="0.2">
      <c r="A30" s="42"/>
      <c r="B30" s="88" t="s">
        <v>217</v>
      </c>
      <c r="C30" s="209"/>
      <c r="D30" s="209"/>
      <c r="E30" s="209"/>
      <c r="F30" s="39"/>
      <c r="G30" s="4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row>
    <row r="31" spans="1:699" ht="15.75" customHeight="1" x14ac:dyDescent="0.2">
      <c r="A31" s="42"/>
      <c r="B31" s="88" t="s">
        <v>218</v>
      </c>
      <c r="C31" s="39"/>
      <c r="D31" s="39"/>
      <c r="E31" s="39"/>
      <c r="F31" s="39"/>
      <c r="G31" s="40"/>
      <c r="H31" s="200" t="s">
        <v>61</v>
      </c>
      <c r="I31" s="200" t="s">
        <v>288</v>
      </c>
      <c r="J31" s="200" t="s">
        <v>162</v>
      </c>
      <c r="K31" s="200" t="s">
        <v>289</v>
      </c>
      <c r="L31" s="200" t="s">
        <v>290</v>
      </c>
      <c r="M31" s="200" t="s">
        <v>291</v>
      </c>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row>
    <row r="32" spans="1:699" ht="15.75" customHeight="1" x14ac:dyDescent="0.2">
      <c r="A32" s="42"/>
      <c r="B32" s="88" t="s">
        <v>219</v>
      </c>
      <c r="C32" s="39"/>
      <c r="D32" s="39"/>
      <c r="E32" s="39"/>
      <c r="F32" s="39"/>
      <c r="G32" s="40"/>
      <c r="H32" s="234">
        <v>2015</v>
      </c>
      <c r="I32" s="222">
        <f>E16</f>
        <v>1724999.9999999998</v>
      </c>
      <c r="J32" s="200">
        <f>K29</f>
        <v>1</v>
      </c>
      <c r="K32" s="200">
        <f>(1+$B$20)^(2019-H32)</f>
        <v>1.21550625</v>
      </c>
      <c r="L32" s="281">
        <f>$B$24*(K13/K32)</f>
        <v>0.57883775093710954</v>
      </c>
      <c r="M32" s="279">
        <f>I32+L32*L13*(1-1/J32)</f>
        <v>1724999.9999999998</v>
      </c>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row>
    <row r="33" spans="1:699" ht="15.75" customHeight="1" x14ac:dyDescent="0.2">
      <c r="A33" s="42"/>
      <c r="B33" s="88" t="s">
        <v>222</v>
      </c>
      <c r="C33" s="39"/>
      <c r="D33" s="39"/>
      <c r="E33" s="39"/>
      <c r="F33" s="39"/>
      <c r="G33" s="40"/>
      <c r="H33" s="234">
        <v>2016</v>
      </c>
      <c r="I33" s="222">
        <f>D17</f>
        <v>1650000</v>
      </c>
      <c r="J33" s="200">
        <f>J29</f>
        <v>1.1499999999999999</v>
      </c>
      <c r="K33" s="200">
        <f t="shared" ref="K33:K34" si="6">(1+$B$20)^(2019-H33)</f>
        <v>1.1576250000000001</v>
      </c>
      <c r="L33" s="281">
        <f t="shared" ref="L33:L34" si="7">$B$24*(K14/K33)</f>
        <v>0.5958623906705538</v>
      </c>
      <c r="M33" s="279">
        <f t="shared" ref="M33:M34" si="8">I33+L33*L14*(1-1/J33)</f>
        <v>1937073.6183626398</v>
      </c>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row>
    <row r="34" spans="1:699" s="82" customFormat="1" ht="15.75" customHeight="1" thickBot="1" x14ac:dyDescent="0.25">
      <c r="A34" s="42"/>
      <c r="B34" s="88"/>
      <c r="C34" s="39"/>
      <c r="D34" s="39"/>
      <c r="E34" s="39"/>
      <c r="F34" s="39"/>
      <c r="G34" s="40"/>
      <c r="H34" s="230">
        <v>2017</v>
      </c>
      <c r="I34" s="222">
        <f>C18</f>
        <v>900000</v>
      </c>
      <c r="J34" s="200">
        <f>I29</f>
        <v>1.7249999999999999</v>
      </c>
      <c r="K34" s="200">
        <f t="shared" si="6"/>
        <v>1.1025</v>
      </c>
      <c r="L34" s="281">
        <f t="shared" si="7"/>
        <v>0.6133877551020408</v>
      </c>
      <c r="M34" s="279">
        <f t="shared" si="8"/>
        <v>1493200.9277322055</v>
      </c>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1"/>
      <c r="GA34" s="201"/>
      <c r="GB34" s="201"/>
      <c r="GC34" s="201"/>
      <c r="GD34" s="201"/>
      <c r="GE34" s="201"/>
      <c r="GF34" s="201"/>
      <c r="GG34" s="201"/>
      <c r="GH34" s="201"/>
      <c r="GI34" s="201"/>
      <c r="GJ34" s="201"/>
      <c r="GK34" s="201"/>
      <c r="GL34" s="201"/>
      <c r="GM34" s="201"/>
      <c r="GN34" s="201"/>
      <c r="GO34" s="201"/>
      <c r="GP34" s="201"/>
      <c r="GQ34" s="201"/>
      <c r="GR34" s="201"/>
      <c r="GS34" s="201"/>
      <c r="GT34" s="201"/>
      <c r="GU34" s="201"/>
      <c r="GV34" s="201"/>
      <c r="GW34" s="201"/>
      <c r="GX34" s="201"/>
      <c r="GY34" s="201"/>
      <c r="GZ34" s="201"/>
      <c r="HA34" s="201"/>
      <c r="HB34" s="201"/>
      <c r="HC34" s="201"/>
      <c r="HD34" s="201"/>
      <c r="HE34" s="201"/>
      <c r="HF34" s="201"/>
      <c r="HG34" s="201"/>
      <c r="HH34" s="201"/>
      <c r="HI34" s="201"/>
      <c r="HJ34" s="201"/>
      <c r="HK34" s="201"/>
      <c r="HL34" s="201"/>
      <c r="HM34" s="201"/>
      <c r="HN34" s="201"/>
      <c r="HO34" s="201"/>
      <c r="HP34" s="201"/>
      <c r="HQ34" s="201"/>
      <c r="HR34" s="201"/>
      <c r="HS34" s="201"/>
      <c r="HT34" s="201"/>
      <c r="HU34" s="201"/>
      <c r="HV34" s="201"/>
      <c r="HW34" s="201"/>
      <c r="HX34" s="201"/>
      <c r="HY34" s="201"/>
      <c r="HZ34" s="201"/>
      <c r="IA34" s="201"/>
      <c r="IB34" s="201"/>
      <c r="IC34" s="201"/>
      <c r="ID34" s="201"/>
      <c r="IE34" s="201"/>
      <c r="IF34" s="201"/>
      <c r="IG34" s="201"/>
      <c r="IH34" s="201"/>
      <c r="II34" s="201"/>
      <c r="IJ34" s="201"/>
      <c r="IK34" s="201"/>
      <c r="IL34" s="201"/>
      <c r="IM34" s="201"/>
      <c r="IN34" s="201"/>
      <c r="IO34" s="201"/>
      <c r="IP34" s="201"/>
      <c r="IQ34" s="201"/>
      <c r="IR34" s="201"/>
      <c r="IS34" s="201"/>
      <c r="IT34" s="201"/>
      <c r="IU34" s="201"/>
      <c r="IV34" s="201"/>
      <c r="IW34" s="201"/>
      <c r="IX34" s="201"/>
      <c r="IY34" s="201"/>
      <c r="IZ34" s="201"/>
      <c r="JA34" s="201"/>
      <c r="JB34" s="201"/>
      <c r="JC34" s="201"/>
      <c r="JD34" s="201"/>
      <c r="JE34" s="201"/>
      <c r="JF34" s="201"/>
      <c r="JG34" s="201"/>
      <c r="JH34" s="201"/>
      <c r="JI34" s="201"/>
      <c r="JJ34" s="201"/>
      <c r="JK34" s="201"/>
      <c r="JL34" s="201"/>
      <c r="JM34" s="201"/>
      <c r="JN34" s="201"/>
      <c r="JO34" s="201"/>
      <c r="JP34" s="201"/>
      <c r="JQ34" s="201"/>
      <c r="JR34" s="201"/>
      <c r="JS34" s="201"/>
      <c r="JT34" s="201"/>
      <c r="JU34" s="201"/>
      <c r="JV34" s="201"/>
      <c r="JW34" s="201"/>
      <c r="JX34" s="201"/>
      <c r="JY34" s="201"/>
      <c r="JZ34" s="201"/>
      <c r="KA34" s="201"/>
      <c r="KB34" s="201"/>
      <c r="KC34" s="201"/>
      <c r="KD34" s="201"/>
      <c r="KE34" s="201"/>
      <c r="KF34" s="201"/>
      <c r="KG34" s="201"/>
      <c r="KH34" s="201"/>
      <c r="KI34" s="201"/>
      <c r="KJ34" s="201"/>
      <c r="KK34" s="201"/>
      <c r="KL34" s="201"/>
      <c r="KM34" s="201"/>
      <c r="KN34" s="201"/>
      <c r="KO34" s="201"/>
      <c r="KP34" s="201"/>
      <c r="KQ34" s="201"/>
      <c r="KR34" s="201"/>
      <c r="KS34" s="201"/>
      <c r="KT34" s="201"/>
      <c r="KU34" s="201"/>
      <c r="KV34" s="201"/>
      <c r="KW34" s="201"/>
      <c r="KX34" s="201"/>
      <c r="KY34" s="201"/>
      <c r="KZ34" s="201"/>
      <c r="LA34" s="201"/>
      <c r="LB34" s="201"/>
      <c r="LC34" s="201"/>
      <c r="LD34" s="201"/>
      <c r="LE34" s="201"/>
      <c r="LF34" s="201"/>
      <c r="LG34" s="201"/>
      <c r="LH34" s="201"/>
      <c r="LI34" s="201"/>
      <c r="LJ34" s="201"/>
      <c r="LK34" s="201"/>
      <c r="LL34" s="201"/>
      <c r="LM34" s="201"/>
      <c r="LN34" s="201"/>
      <c r="LO34" s="201"/>
      <c r="LP34" s="201"/>
      <c r="LQ34" s="201"/>
      <c r="LR34" s="201"/>
      <c r="LS34" s="201"/>
      <c r="LT34" s="201"/>
      <c r="LU34" s="201"/>
      <c r="LV34" s="201"/>
      <c r="LW34" s="201"/>
      <c r="LX34" s="201"/>
      <c r="LY34" s="201"/>
      <c r="LZ34" s="201"/>
      <c r="MA34" s="201"/>
      <c r="MB34" s="201"/>
      <c r="MC34" s="201"/>
      <c r="MD34" s="201"/>
      <c r="ME34" s="201"/>
      <c r="MF34" s="201"/>
      <c r="MG34" s="201"/>
      <c r="MH34" s="201"/>
      <c r="MI34" s="201"/>
      <c r="MJ34" s="201"/>
      <c r="MK34" s="201"/>
      <c r="ML34" s="201"/>
      <c r="MM34" s="201"/>
      <c r="MN34" s="201"/>
      <c r="MO34" s="201"/>
      <c r="MP34" s="201"/>
      <c r="MQ34" s="201"/>
      <c r="MR34" s="201"/>
      <c r="MS34" s="201"/>
      <c r="MT34" s="201"/>
      <c r="MU34" s="201"/>
      <c r="MV34" s="201"/>
      <c r="MW34" s="201"/>
      <c r="MX34" s="201"/>
      <c r="MY34" s="201"/>
      <c r="MZ34" s="201"/>
      <c r="NA34" s="201"/>
      <c r="NB34" s="201"/>
      <c r="NC34" s="201"/>
      <c r="ND34" s="201"/>
      <c r="NE34" s="201"/>
      <c r="NF34" s="201"/>
      <c r="NG34" s="201"/>
      <c r="NH34" s="201"/>
      <c r="NI34" s="201"/>
      <c r="NJ34" s="201"/>
      <c r="NK34" s="201"/>
      <c r="NL34" s="201"/>
      <c r="NM34" s="201"/>
      <c r="NN34" s="201"/>
      <c r="NO34" s="201"/>
      <c r="NP34" s="201"/>
      <c r="NQ34" s="201"/>
      <c r="NR34" s="201"/>
      <c r="NS34" s="201"/>
      <c r="NT34" s="201"/>
      <c r="NU34" s="201"/>
      <c r="NV34" s="201"/>
      <c r="NW34" s="201"/>
      <c r="NX34" s="201"/>
      <c r="NY34" s="201"/>
      <c r="NZ34" s="201"/>
      <c r="OA34" s="201"/>
      <c r="OB34" s="201"/>
      <c r="OC34" s="201"/>
      <c r="OD34" s="201"/>
      <c r="OE34" s="201"/>
      <c r="OF34" s="201"/>
      <c r="OG34" s="201"/>
      <c r="OH34" s="201"/>
      <c r="OI34" s="201"/>
      <c r="OJ34" s="201"/>
      <c r="OK34" s="201"/>
      <c r="OL34" s="201"/>
      <c r="OM34" s="201"/>
      <c r="ON34" s="201"/>
      <c r="OO34" s="201"/>
      <c r="OP34" s="201"/>
      <c r="OQ34" s="201"/>
      <c r="OR34" s="201"/>
      <c r="OS34" s="201"/>
      <c r="OT34" s="201"/>
      <c r="OU34" s="201"/>
      <c r="OV34" s="201"/>
      <c r="OW34" s="201"/>
      <c r="OX34" s="201"/>
      <c r="OY34" s="201"/>
      <c r="OZ34" s="201"/>
      <c r="PA34" s="201"/>
      <c r="PB34" s="201"/>
      <c r="PC34" s="201"/>
      <c r="PD34" s="201"/>
      <c r="PE34" s="201"/>
      <c r="PF34" s="201"/>
      <c r="PG34" s="201"/>
      <c r="PH34" s="201"/>
      <c r="PI34" s="201"/>
      <c r="PJ34" s="201"/>
      <c r="PK34" s="201"/>
      <c r="PL34" s="201"/>
      <c r="PM34" s="201"/>
      <c r="PN34" s="201"/>
      <c r="PO34" s="201"/>
      <c r="PP34" s="201"/>
      <c r="PQ34" s="201"/>
      <c r="PR34" s="201"/>
      <c r="PS34" s="201"/>
      <c r="PT34" s="201"/>
      <c r="PU34" s="201"/>
      <c r="PV34" s="201"/>
      <c r="PW34" s="201"/>
      <c r="PX34" s="201"/>
      <c r="PY34" s="201"/>
      <c r="PZ34" s="201"/>
      <c r="QA34" s="201"/>
      <c r="QB34" s="201"/>
      <c r="QC34" s="201"/>
      <c r="QD34" s="201"/>
      <c r="QE34" s="201"/>
      <c r="QF34" s="201"/>
      <c r="QG34" s="201"/>
      <c r="QH34" s="201"/>
      <c r="QI34" s="201"/>
      <c r="QJ34" s="201"/>
      <c r="QK34" s="201"/>
      <c r="QL34" s="201"/>
      <c r="QM34" s="201"/>
      <c r="QN34" s="201"/>
      <c r="QO34" s="201"/>
      <c r="QP34" s="201"/>
      <c r="QQ34" s="201"/>
      <c r="QR34" s="201"/>
      <c r="QS34" s="201"/>
      <c r="QT34" s="201"/>
      <c r="QU34" s="201"/>
      <c r="QV34" s="201"/>
      <c r="QW34" s="201"/>
      <c r="QX34" s="201"/>
      <c r="QY34" s="201"/>
      <c r="QZ34" s="201"/>
      <c r="RA34" s="201"/>
      <c r="RB34" s="201"/>
      <c r="RC34" s="201"/>
      <c r="RD34" s="201"/>
      <c r="RE34" s="201"/>
      <c r="RF34" s="201"/>
      <c r="RG34" s="201"/>
      <c r="RH34" s="201"/>
      <c r="RI34" s="201"/>
      <c r="RJ34" s="201"/>
      <c r="RK34" s="201"/>
      <c r="RL34" s="201"/>
      <c r="RM34" s="201"/>
      <c r="RN34" s="201"/>
      <c r="RO34" s="201"/>
      <c r="RP34" s="201"/>
      <c r="RQ34" s="201"/>
      <c r="RR34" s="201"/>
      <c r="RS34" s="201"/>
      <c r="RT34" s="201"/>
      <c r="RU34" s="201"/>
      <c r="RV34" s="201"/>
      <c r="RW34" s="201"/>
      <c r="RX34" s="201"/>
      <c r="RY34" s="201"/>
      <c r="RZ34" s="201"/>
      <c r="SA34" s="201"/>
      <c r="SB34" s="201"/>
      <c r="SC34" s="201"/>
      <c r="SD34" s="201"/>
      <c r="SE34" s="201"/>
      <c r="SF34" s="201"/>
      <c r="SG34" s="201"/>
      <c r="SH34" s="201"/>
      <c r="SI34" s="201"/>
      <c r="SJ34" s="201"/>
      <c r="SK34" s="201"/>
      <c r="SL34" s="201"/>
      <c r="SM34" s="201"/>
      <c r="SN34" s="201"/>
      <c r="SO34" s="201"/>
      <c r="SP34" s="201"/>
      <c r="SQ34" s="201"/>
      <c r="SR34" s="201"/>
      <c r="SS34" s="201"/>
      <c r="ST34" s="201"/>
      <c r="SU34" s="201"/>
      <c r="SV34" s="201"/>
      <c r="SW34" s="201"/>
      <c r="SX34" s="201"/>
      <c r="SY34" s="201"/>
      <c r="SZ34" s="201"/>
      <c r="TA34" s="201"/>
      <c r="TB34" s="201"/>
      <c r="TC34" s="201"/>
      <c r="TD34" s="201"/>
      <c r="TE34" s="201"/>
      <c r="TF34" s="201"/>
      <c r="TG34" s="201"/>
      <c r="TH34" s="201"/>
      <c r="TI34" s="201"/>
      <c r="TJ34" s="201"/>
      <c r="TK34" s="201"/>
      <c r="TL34" s="201"/>
      <c r="TM34" s="201"/>
      <c r="TN34" s="201"/>
      <c r="TO34" s="201"/>
      <c r="TP34" s="201"/>
      <c r="TQ34" s="201"/>
      <c r="TR34" s="201"/>
      <c r="TS34" s="201"/>
      <c r="TT34" s="201"/>
      <c r="TU34" s="201"/>
      <c r="TV34" s="201"/>
      <c r="TW34" s="201"/>
      <c r="TX34" s="201"/>
      <c r="TY34" s="201"/>
      <c r="TZ34" s="201"/>
      <c r="UA34" s="201"/>
      <c r="UB34" s="201"/>
      <c r="UC34" s="201"/>
      <c r="UD34" s="201"/>
      <c r="UE34" s="201"/>
      <c r="UF34" s="201"/>
      <c r="UG34" s="201"/>
      <c r="UH34" s="201"/>
      <c r="UI34" s="201"/>
      <c r="UJ34" s="201"/>
      <c r="UK34" s="201"/>
      <c r="UL34" s="201"/>
      <c r="UM34" s="201"/>
      <c r="UN34" s="201"/>
      <c r="UO34" s="201"/>
      <c r="UP34" s="201"/>
      <c r="UQ34" s="201"/>
      <c r="UR34" s="201"/>
      <c r="US34" s="201"/>
      <c r="UT34" s="201"/>
      <c r="UU34" s="201"/>
      <c r="UV34" s="201"/>
      <c r="UW34" s="201"/>
      <c r="UX34" s="201"/>
      <c r="UY34" s="201"/>
      <c r="UZ34" s="201"/>
      <c r="VA34" s="201"/>
      <c r="VB34" s="201"/>
      <c r="VC34" s="201"/>
      <c r="VD34" s="201"/>
      <c r="VE34" s="201"/>
      <c r="VF34" s="201"/>
      <c r="VG34" s="201"/>
      <c r="VH34" s="201"/>
      <c r="VI34" s="201"/>
      <c r="VJ34" s="201"/>
      <c r="VK34" s="201"/>
      <c r="VL34" s="201"/>
      <c r="VM34" s="201"/>
      <c r="VN34" s="201"/>
      <c r="VO34" s="201"/>
      <c r="VP34" s="201"/>
      <c r="VQ34" s="201"/>
      <c r="VR34" s="201"/>
      <c r="VS34" s="201"/>
      <c r="VT34" s="201"/>
      <c r="VU34" s="201"/>
      <c r="VV34" s="201"/>
      <c r="VW34" s="201"/>
      <c r="VX34" s="201"/>
      <c r="VY34" s="201"/>
      <c r="VZ34" s="201"/>
      <c r="WA34" s="201"/>
      <c r="WB34" s="201"/>
      <c r="WC34" s="201"/>
      <c r="WD34" s="201"/>
      <c r="WE34" s="201"/>
      <c r="WF34" s="201"/>
      <c r="WG34" s="201"/>
      <c r="WH34" s="201"/>
      <c r="WI34" s="201"/>
      <c r="WJ34" s="201"/>
      <c r="WK34" s="201"/>
      <c r="WL34" s="201"/>
      <c r="WM34" s="201"/>
      <c r="WN34" s="201"/>
      <c r="WO34" s="201"/>
      <c r="WP34" s="201"/>
      <c r="WQ34" s="201"/>
      <c r="WR34" s="201"/>
      <c r="WS34" s="201"/>
      <c r="WT34" s="201"/>
      <c r="WU34" s="201"/>
      <c r="WV34" s="201"/>
      <c r="WW34" s="201"/>
      <c r="WX34" s="201"/>
      <c r="WY34" s="201"/>
      <c r="WZ34" s="201"/>
      <c r="XA34" s="201"/>
      <c r="XB34" s="201"/>
      <c r="XC34" s="201"/>
      <c r="XD34" s="201"/>
      <c r="XE34" s="201"/>
      <c r="XF34" s="201"/>
      <c r="XG34" s="201"/>
      <c r="XH34" s="201"/>
      <c r="XI34" s="201"/>
      <c r="XJ34" s="201"/>
      <c r="XK34" s="201"/>
      <c r="XL34" s="201"/>
      <c r="XM34" s="201"/>
      <c r="XN34" s="201"/>
      <c r="XO34" s="201"/>
      <c r="XP34" s="201"/>
      <c r="XQ34" s="201"/>
      <c r="XR34" s="201"/>
      <c r="XS34" s="201"/>
      <c r="XT34" s="201"/>
      <c r="XU34" s="201"/>
      <c r="XV34" s="201"/>
      <c r="XW34" s="201"/>
      <c r="XX34" s="201"/>
      <c r="XY34" s="201"/>
      <c r="XZ34" s="201"/>
      <c r="YA34" s="201"/>
      <c r="YB34" s="201"/>
      <c r="YC34" s="201"/>
      <c r="YD34" s="201"/>
      <c r="YE34" s="201"/>
      <c r="YF34" s="201"/>
      <c r="YG34" s="201"/>
      <c r="YH34" s="201"/>
      <c r="YI34" s="201"/>
      <c r="YJ34" s="201"/>
      <c r="YK34" s="201"/>
      <c r="YL34" s="201"/>
      <c r="YM34" s="201"/>
      <c r="YN34" s="201"/>
      <c r="YO34" s="201"/>
      <c r="YP34" s="201"/>
      <c r="YQ34" s="201"/>
      <c r="YR34" s="201"/>
      <c r="YS34" s="201"/>
      <c r="YT34" s="201"/>
      <c r="YU34" s="201"/>
      <c r="YV34" s="201"/>
      <c r="YW34" s="201"/>
      <c r="YX34" s="201"/>
      <c r="YY34" s="201"/>
      <c r="YZ34" s="201"/>
      <c r="ZA34" s="201"/>
      <c r="ZB34" s="201"/>
      <c r="ZC34" s="201"/>
      <c r="ZD34" s="201"/>
      <c r="ZE34" s="201"/>
      <c r="ZF34" s="201"/>
      <c r="ZG34" s="201"/>
      <c r="ZH34" s="201"/>
      <c r="ZI34" s="201"/>
      <c r="ZJ34" s="201"/>
      <c r="ZK34" s="201"/>
      <c r="ZL34" s="201"/>
      <c r="ZM34" s="201"/>
      <c r="ZN34" s="201"/>
      <c r="ZO34" s="201"/>
      <c r="ZP34" s="201"/>
      <c r="ZQ34" s="201"/>
      <c r="ZR34" s="201"/>
      <c r="ZS34" s="201"/>
      <c r="ZT34" s="201"/>
      <c r="ZU34" s="201"/>
      <c r="ZV34" s="201"/>
      <c r="ZW34" s="201"/>
    </row>
    <row r="35" spans="1:699" s="82" customFormat="1" ht="15.75" customHeight="1" x14ac:dyDescent="0.2">
      <c r="A35" s="42">
        <v>1</v>
      </c>
      <c r="B35" s="39" t="s">
        <v>46</v>
      </c>
      <c r="C35" s="39"/>
      <c r="D35" s="39"/>
      <c r="E35" s="39"/>
      <c r="F35" s="39"/>
      <c r="G35" s="40"/>
      <c r="H35" s="200"/>
      <c r="I35" s="200"/>
      <c r="J35" s="200"/>
      <c r="K35" s="200"/>
      <c r="L35" s="200" t="s">
        <v>292</v>
      </c>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1"/>
      <c r="GA35" s="201"/>
      <c r="GB35" s="201"/>
      <c r="GC35" s="201"/>
      <c r="GD35" s="201"/>
      <c r="GE35" s="201"/>
      <c r="GF35" s="201"/>
      <c r="GG35" s="201"/>
      <c r="GH35" s="201"/>
      <c r="GI35" s="201"/>
      <c r="GJ35" s="201"/>
      <c r="GK35" s="201"/>
      <c r="GL35" s="201"/>
      <c r="GM35" s="201"/>
      <c r="GN35" s="201"/>
      <c r="GO35" s="201"/>
      <c r="GP35" s="201"/>
      <c r="GQ35" s="201"/>
      <c r="GR35" s="201"/>
      <c r="GS35" s="201"/>
      <c r="GT35" s="201"/>
      <c r="GU35" s="201"/>
      <c r="GV35" s="201"/>
      <c r="GW35" s="201"/>
      <c r="GX35" s="201"/>
      <c r="GY35" s="201"/>
      <c r="GZ35" s="201"/>
      <c r="HA35" s="201"/>
      <c r="HB35" s="201"/>
      <c r="HC35" s="201"/>
      <c r="HD35" s="201"/>
      <c r="HE35" s="201"/>
      <c r="HF35" s="201"/>
      <c r="HG35" s="201"/>
      <c r="HH35" s="201"/>
      <c r="HI35" s="201"/>
      <c r="HJ35" s="201"/>
      <c r="HK35" s="201"/>
      <c r="HL35" s="201"/>
      <c r="HM35" s="201"/>
      <c r="HN35" s="201"/>
      <c r="HO35" s="201"/>
      <c r="HP35" s="201"/>
      <c r="HQ35" s="201"/>
      <c r="HR35" s="201"/>
      <c r="HS35" s="201"/>
      <c r="HT35" s="201"/>
      <c r="HU35" s="201"/>
      <c r="HV35" s="201"/>
      <c r="HW35" s="201"/>
      <c r="HX35" s="201"/>
      <c r="HY35" s="201"/>
      <c r="HZ35" s="201"/>
      <c r="IA35" s="201"/>
      <c r="IB35" s="201"/>
      <c r="IC35" s="201"/>
      <c r="ID35" s="201"/>
      <c r="IE35" s="201"/>
      <c r="IF35" s="201"/>
      <c r="IG35" s="201"/>
      <c r="IH35" s="201"/>
      <c r="II35" s="201"/>
      <c r="IJ35" s="201"/>
      <c r="IK35" s="201"/>
      <c r="IL35" s="201"/>
      <c r="IM35" s="201"/>
      <c r="IN35" s="201"/>
      <c r="IO35" s="201"/>
      <c r="IP35" s="201"/>
      <c r="IQ35" s="201"/>
      <c r="IR35" s="201"/>
      <c r="IS35" s="201"/>
      <c r="IT35" s="201"/>
      <c r="IU35" s="201"/>
      <c r="IV35" s="201"/>
      <c r="IW35" s="201"/>
      <c r="IX35" s="201"/>
      <c r="IY35" s="201"/>
      <c r="IZ35" s="201"/>
      <c r="JA35" s="201"/>
      <c r="JB35" s="201"/>
      <c r="JC35" s="201"/>
      <c r="JD35" s="201"/>
      <c r="JE35" s="201"/>
      <c r="JF35" s="201"/>
      <c r="JG35" s="201"/>
      <c r="JH35" s="201"/>
      <c r="JI35" s="201"/>
      <c r="JJ35" s="201"/>
      <c r="JK35" s="201"/>
      <c r="JL35" s="201"/>
      <c r="JM35" s="201"/>
      <c r="JN35" s="201"/>
      <c r="JO35" s="201"/>
      <c r="JP35" s="201"/>
      <c r="JQ35" s="201"/>
      <c r="JR35" s="201"/>
      <c r="JS35" s="201"/>
      <c r="JT35" s="201"/>
      <c r="JU35" s="201"/>
      <c r="JV35" s="201"/>
      <c r="JW35" s="201"/>
      <c r="JX35" s="201"/>
      <c r="JY35" s="201"/>
      <c r="JZ35" s="201"/>
      <c r="KA35" s="201"/>
      <c r="KB35" s="201"/>
      <c r="KC35" s="201"/>
      <c r="KD35" s="201"/>
      <c r="KE35" s="201"/>
      <c r="KF35" s="201"/>
      <c r="KG35" s="201"/>
      <c r="KH35" s="201"/>
      <c r="KI35" s="201"/>
      <c r="KJ35" s="201"/>
      <c r="KK35" s="201"/>
      <c r="KL35" s="201"/>
      <c r="KM35" s="201"/>
      <c r="KN35" s="201"/>
      <c r="KO35" s="201"/>
      <c r="KP35" s="201"/>
      <c r="KQ35" s="201"/>
      <c r="KR35" s="201"/>
      <c r="KS35" s="201"/>
      <c r="KT35" s="201"/>
      <c r="KU35" s="201"/>
      <c r="KV35" s="201"/>
      <c r="KW35" s="201"/>
      <c r="KX35" s="201"/>
      <c r="KY35" s="201"/>
      <c r="KZ35" s="201"/>
      <c r="LA35" s="201"/>
      <c r="LB35" s="201"/>
      <c r="LC35" s="201"/>
      <c r="LD35" s="201"/>
      <c r="LE35" s="201"/>
      <c r="LF35" s="201"/>
      <c r="LG35" s="201"/>
      <c r="LH35" s="201"/>
      <c r="LI35" s="201"/>
      <c r="LJ35" s="201"/>
      <c r="LK35" s="201"/>
      <c r="LL35" s="201"/>
      <c r="LM35" s="201"/>
      <c r="LN35" s="201"/>
      <c r="LO35" s="201"/>
      <c r="LP35" s="201"/>
      <c r="LQ35" s="201"/>
      <c r="LR35" s="201"/>
      <c r="LS35" s="201"/>
      <c r="LT35" s="201"/>
      <c r="LU35" s="201"/>
      <c r="LV35" s="201"/>
      <c r="LW35" s="201"/>
      <c r="LX35" s="201"/>
      <c r="LY35" s="201"/>
      <c r="LZ35" s="201"/>
      <c r="MA35" s="201"/>
      <c r="MB35" s="201"/>
      <c r="MC35" s="201"/>
      <c r="MD35" s="201"/>
      <c r="ME35" s="201"/>
      <c r="MF35" s="201"/>
      <c r="MG35" s="201"/>
      <c r="MH35" s="201"/>
      <c r="MI35" s="201"/>
      <c r="MJ35" s="201"/>
      <c r="MK35" s="201"/>
      <c r="ML35" s="201"/>
      <c r="MM35" s="201"/>
      <c r="MN35" s="201"/>
      <c r="MO35" s="201"/>
      <c r="MP35" s="201"/>
      <c r="MQ35" s="201"/>
      <c r="MR35" s="201"/>
      <c r="MS35" s="201"/>
      <c r="MT35" s="201"/>
      <c r="MU35" s="201"/>
      <c r="MV35" s="201"/>
      <c r="MW35" s="201"/>
      <c r="MX35" s="201"/>
      <c r="MY35" s="201"/>
      <c r="MZ35" s="201"/>
      <c r="NA35" s="201"/>
      <c r="NB35" s="201"/>
      <c r="NC35" s="201"/>
      <c r="ND35" s="201"/>
      <c r="NE35" s="201"/>
      <c r="NF35" s="201"/>
      <c r="NG35" s="201"/>
      <c r="NH35" s="201"/>
      <c r="NI35" s="201"/>
      <c r="NJ35" s="201"/>
      <c r="NK35" s="201"/>
      <c r="NL35" s="201"/>
      <c r="NM35" s="201"/>
      <c r="NN35" s="201"/>
      <c r="NO35" s="201"/>
      <c r="NP35" s="201"/>
      <c r="NQ35" s="201"/>
      <c r="NR35" s="201"/>
      <c r="NS35" s="201"/>
      <c r="NT35" s="201"/>
      <c r="NU35" s="201"/>
      <c r="NV35" s="201"/>
      <c r="NW35" s="201"/>
      <c r="NX35" s="201"/>
      <c r="NY35" s="201"/>
      <c r="NZ35" s="201"/>
      <c r="OA35" s="201"/>
      <c r="OB35" s="201"/>
      <c r="OC35" s="201"/>
      <c r="OD35" s="201"/>
      <c r="OE35" s="201"/>
      <c r="OF35" s="201"/>
      <c r="OG35" s="201"/>
      <c r="OH35" s="201"/>
      <c r="OI35" s="201"/>
      <c r="OJ35" s="201"/>
      <c r="OK35" s="201"/>
      <c r="OL35" s="201"/>
      <c r="OM35" s="201"/>
      <c r="ON35" s="201"/>
      <c r="OO35" s="201"/>
      <c r="OP35" s="201"/>
      <c r="OQ35" s="201"/>
      <c r="OR35" s="201"/>
      <c r="OS35" s="201"/>
      <c r="OT35" s="201"/>
      <c r="OU35" s="201"/>
      <c r="OV35" s="201"/>
      <c r="OW35" s="201"/>
      <c r="OX35" s="201"/>
      <c r="OY35" s="201"/>
      <c r="OZ35" s="201"/>
      <c r="PA35" s="201"/>
      <c r="PB35" s="201"/>
      <c r="PC35" s="201"/>
      <c r="PD35" s="201"/>
      <c r="PE35" s="201"/>
      <c r="PF35" s="201"/>
      <c r="PG35" s="201"/>
      <c r="PH35" s="201"/>
      <c r="PI35" s="201"/>
      <c r="PJ35" s="201"/>
      <c r="PK35" s="201"/>
      <c r="PL35" s="201"/>
      <c r="PM35" s="201"/>
      <c r="PN35" s="201"/>
      <c r="PO35" s="201"/>
      <c r="PP35" s="201"/>
      <c r="PQ35" s="201"/>
      <c r="PR35" s="201"/>
      <c r="PS35" s="201"/>
      <c r="PT35" s="201"/>
      <c r="PU35" s="201"/>
      <c r="PV35" s="201"/>
      <c r="PW35" s="201"/>
      <c r="PX35" s="201"/>
      <c r="PY35" s="201"/>
      <c r="PZ35" s="201"/>
      <c r="QA35" s="201"/>
      <c r="QB35" s="201"/>
      <c r="QC35" s="201"/>
      <c r="QD35" s="201"/>
      <c r="QE35" s="201"/>
      <c r="QF35" s="201"/>
      <c r="QG35" s="201"/>
      <c r="QH35" s="201"/>
      <c r="QI35" s="201"/>
      <c r="QJ35" s="201"/>
      <c r="QK35" s="201"/>
      <c r="QL35" s="201"/>
      <c r="QM35" s="201"/>
      <c r="QN35" s="201"/>
      <c r="QO35" s="201"/>
      <c r="QP35" s="201"/>
      <c r="QQ35" s="201"/>
      <c r="QR35" s="201"/>
      <c r="QS35" s="201"/>
      <c r="QT35" s="201"/>
      <c r="QU35" s="201"/>
      <c r="QV35" s="201"/>
      <c r="QW35" s="201"/>
      <c r="QX35" s="201"/>
      <c r="QY35" s="201"/>
      <c r="QZ35" s="201"/>
      <c r="RA35" s="201"/>
      <c r="RB35" s="201"/>
      <c r="RC35" s="201"/>
      <c r="RD35" s="201"/>
      <c r="RE35" s="201"/>
      <c r="RF35" s="201"/>
      <c r="RG35" s="201"/>
      <c r="RH35" s="201"/>
      <c r="RI35" s="201"/>
      <c r="RJ35" s="201"/>
      <c r="RK35" s="201"/>
      <c r="RL35" s="201"/>
      <c r="RM35" s="201"/>
      <c r="RN35" s="201"/>
      <c r="RO35" s="201"/>
      <c r="RP35" s="201"/>
      <c r="RQ35" s="201"/>
      <c r="RR35" s="201"/>
      <c r="RS35" s="201"/>
      <c r="RT35" s="201"/>
      <c r="RU35" s="201"/>
      <c r="RV35" s="201"/>
      <c r="RW35" s="201"/>
      <c r="RX35" s="201"/>
      <c r="RY35" s="201"/>
      <c r="RZ35" s="201"/>
      <c r="SA35" s="201"/>
      <c r="SB35" s="201"/>
      <c r="SC35" s="201"/>
      <c r="SD35" s="201"/>
      <c r="SE35" s="201"/>
      <c r="SF35" s="201"/>
      <c r="SG35" s="201"/>
      <c r="SH35" s="201"/>
      <c r="SI35" s="201"/>
      <c r="SJ35" s="201"/>
      <c r="SK35" s="201"/>
      <c r="SL35" s="201"/>
      <c r="SM35" s="201"/>
      <c r="SN35" s="201"/>
      <c r="SO35" s="201"/>
      <c r="SP35" s="201"/>
      <c r="SQ35" s="201"/>
      <c r="SR35" s="201"/>
      <c r="SS35" s="201"/>
      <c r="ST35" s="201"/>
      <c r="SU35" s="201"/>
      <c r="SV35" s="201"/>
      <c r="SW35" s="201"/>
      <c r="SX35" s="201"/>
      <c r="SY35" s="201"/>
      <c r="SZ35" s="201"/>
      <c r="TA35" s="201"/>
      <c r="TB35" s="201"/>
      <c r="TC35" s="201"/>
      <c r="TD35" s="201"/>
      <c r="TE35" s="201"/>
      <c r="TF35" s="201"/>
      <c r="TG35" s="201"/>
      <c r="TH35" s="201"/>
      <c r="TI35" s="201"/>
      <c r="TJ35" s="201"/>
      <c r="TK35" s="201"/>
      <c r="TL35" s="201"/>
      <c r="TM35" s="201"/>
      <c r="TN35" s="201"/>
      <c r="TO35" s="201"/>
      <c r="TP35" s="201"/>
      <c r="TQ35" s="201"/>
      <c r="TR35" s="201"/>
      <c r="TS35" s="201"/>
      <c r="TT35" s="201"/>
      <c r="TU35" s="201"/>
      <c r="TV35" s="201"/>
      <c r="TW35" s="201"/>
      <c r="TX35" s="201"/>
      <c r="TY35" s="201"/>
      <c r="TZ35" s="201"/>
      <c r="UA35" s="201"/>
      <c r="UB35" s="201"/>
      <c r="UC35" s="201"/>
      <c r="UD35" s="201"/>
      <c r="UE35" s="201"/>
      <c r="UF35" s="201"/>
      <c r="UG35" s="201"/>
      <c r="UH35" s="201"/>
      <c r="UI35" s="201"/>
      <c r="UJ35" s="201"/>
      <c r="UK35" s="201"/>
      <c r="UL35" s="201"/>
      <c r="UM35" s="201"/>
      <c r="UN35" s="201"/>
      <c r="UO35" s="201"/>
      <c r="UP35" s="201"/>
      <c r="UQ35" s="201"/>
      <c r="UR35" s="201"/>
      <c r="US35" s="201"/>
      <c r="UT35" s="201"/>
      <c r="UU35" s="201"/>
      <c r="UV35" s="201"/>
      <c r="UW35" s="201"/>
      <c r="UX35" s="201"/>
      <c r="UY35" s="201"/>
      <c r="UZ35" s="201"/>
      <c r="VA35" s="201"/>
      <c r="VB35" s="201"/>
      <c r="VC35" s="201"/>
      <c r="VD35" s="201"/>
      <c r="VE35" s="201"/>
      <c r="VF35" s="201"/>
      <c r="VG35" s="201"/>
      <c r="VH35" s="201"/>
      <c r="VI35" s="201"/>
      <c r="VJ35" s="201"/>
      <c r="VK35" s="201"/>
      <c r="VL35" s="201"/>
      <c r="VM35" s="201"/>
      <c r="VN35" s="201"/>
      <c r="VO35" s="201"/>
      <c r="VP35" s="201"/>
      <c r="VQ35" s="201"/>
      <c r="VR35" s="201"/>
      <c r="VS35" s="201"/>
      <c r="VT35" s="201"/>
      <c r="VU35" s="201"/>
      <c r="VV35" s="201"/>
      <c r="VW35" s="201"/>
      <c r="VX35" s="201"/>
      <c r="VY35" s="201"/>
      <c r="VZ35" s="201"/>
      <c r="WA35" s="201"/>
      <c r="WB35" s="201"/>
      <c r="WC35" s="201"/>
      <c r="WD35" s="201"/>
      <c r="WE35" s="201"/>
      <c r="WF35" s="201"/>
      <c r="WG35" s="201"/>
      <c r="WH35" s="201"/>
      <c r="WI35" s="201"/>
      <c r="WJ35" s="201"/>
      <c r="WK35" s="201"/>
      <c r="WL35" s="201"/>
      <c r="WM35" s="201"/>
      <c r="WN35" s="201"/>
      <c r="WO35" s="201"/>
      <c r="WP35" s="201"/>
      <c r="WQ35" s="201"/>
      <c r="WR35" s="201"/>
      <c r="WS35" s="201"/>
      <c r="WT35" s="201"/>
      <c r="WU35" s="201"/>
      <c r="WV35" s="201"/>
      <c r="WW35" s="201"/>
      <c r="WX35" s="201"/>
      <c r="WY35" s="201"/>
      <c r="WZ35" s="201"/>
      <c r="XA35" s="201"/>
      <c r="XB35" s="201"/>
      <c r="XC35" s="201"/>
      <c r="XD35" s="201"/>
      <c r="XE35" s="201"/>
      <c r="XF35" s="201"/>
      <c r="XG35" s="201"/>
      <c r="XH35" s="201"/>
      <c r="XI35" s="201"/>
      <c r="XJ35" s="201"/>
      <c r="XK35" s="201"/>
      <c r="XL35" s="201"/>
      <c r="XM35" s="201"/>
      <c r="XN35" s="201"/>
      <c r="XO35" s="201"/>
      <c r="XP35" s="201"/>
      <c r="XQ35" s="201"/>
      <c r="XR35" s="201"/>
      <c r="XS35" s="201"/>
      <c r="XT35" s="201"/>
      <c r="XU35" s="201"/>
      <c r="XV35" s="201"/>
      <c r="XW35" s="201"/>
      <c r="XX35" s="201"/>
      <c r="XY35" s="201"/>
      <c r="XZ35" s="201"/>
      <c r="YA35" s="201"/>
      <c r="YB35" s="201"/>
      <c r="YC35" s="201"/>
      <c r="YD35" s="201"/>
      <c r="YE35" s="201"/>
      <c r="YF35" s="201"/>
      <c r="YG35" s="201"/>
      <c r="YH35" s="201"/>
      <c r="YI35" s="201"/>
      <c r="YJ35" s="201"/>
      <c r="YK35" s="201"/>
      <c r="YL35" s="201"/>
      <c r="YM35" s="201"/>
      <c r="YN35" s="201"/>
      <c r="YO35" s="201"/>
      <c r="YP35" s="201"/>
      <c r="YQ35" s="201"/>
      <c r="YR35" s="201"/>
      <c r="YS35" s="201"/>
      <c r="YT35" s="201"/>
      <c r="YU35" s="201"/>
      <c r="YV35" s="201"/>
      <c r="YW35" s="201"/>
      <c r="YX35" s="201"/>
      <c r="YY35" s="201"/>
      <c r="YZ35" s="201"/>
      <c r="ZA35" s="201"/>
      <c r="ZB35" s="201"/>
      <c r="ZC35" s="201"/>
      <c r="ZD35" s="201"/>
      <c r="ZE35" s="201"/>
      <c r="ZF35" s="201"/>
      <c r="ZG35" s="201"/>
      <c r="ZH35" s="201"/>
      <c r="ZI35" s="201"/>
      <c r="ZJ35" s="201"/>
      <c r="ZK35" s="201"/>
      <c r="ZL35" s="201"/>
      <c r="ZM35" s="201"/>
      <c r="ZN35" s="201"/>
      <c r="ZO35" s="201"/>
      <c r="ZP35" s="201"/>
      <c r="ZQ35" s="201"/>
      <c r="ZR35" s="201"/>
      <c r="ZS35" s="201"/>
      <c r="ZT35" s="201"/>
      <c r="ZU35" s="201"/>
      <c r="ZV35" s="201"/>
      <c r="ZW35" s="201"/>
    </row>
    <row r="36" spans="1:699" ht="15.75" customHeight="1" x14ac:dyDescent="0.2">
      <c r="A36" s="42"/>
      <c r="B36" s="133" t="s">
        <v>226</v>
      </c>
      <c r="C36" s="39"/>
      <c r="D36" s="39"/>
      <c r="E36" s="39"/>
      <c r="F36" s="39"/>
      <c r="G36" s="4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row>
    <row r="37" spans="1:699" ht="15.75" customHeight="1" x14ac:dyDescent="0.2">
      <c r="A37" s="42"/>
      <c r="B37" s="133"/>
      <c r="C37" s="39"/>
      <c r="D37" s="39"/>
      <c r="E37" s="39"/>
      <c r="F37" s="39"/>
      <c r="G37" s="4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row>
    <row r="38" spans="1:699" ht="15.75" customHeight="1" x14ac:dyDescent="0.2">
      <c r="A38" s="42">
        <v>3.5</v>
      </c>
      <c r="B38" s="39" t="s">
        <v>21</v>
      </c>
      <c r="C38" s="39"/>
      <c r="D38" s="39"/>
      <c r="E38" s="39"/>
      <c r="F38" s="39"/>
      <c r="G38" s="4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row>
    <row r="39" spans="1:699" ht="15.75" customHeight="1" x14ac:dyDescent="0.2">
      <c r="A39" s="42"/>
      <c r="B39" s="39" t="s">
        <v>227</v>
      </c>
      <c r="C39" s="39"/>
      <c r="D39" s="39"/>
      <c r="E39" s="39"/>
      <c r="F39" s="39"/>
      <c r="G39" s="40"/>
      <c r="H39" s="82" t="s">
        <v>21</v>
      </c>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82"/>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82"/>
      <c r="JY39" s="82"/>
      <c r="JZ39" s="82"/>
      <c r="KA39" s="82"/>
      <c r="KB39" s="82"/>
      <c r="KC39" s="82"/>
      <c r="KD39" s="82"/>
      <c r="KE39" s="82"/>
      <c r="KF39" s="82"/>
      <c r="KG39" s="82"/>
      <c r="KH39" s="82"/>
      <c r="KI39" s="82"/>
      <c r="KJ39" s="82"/>
      <c r="KK39" s="82"/>
      <c r="KL39" s="82"/>
      <c r="KM39" s="82"/>
      <c r="KN39" s="82"/>
      <c r="KO39" s="82"/>
      <c r="KP39" s="82"/>
      <c r="KQ39" s="82"/>
      <c r="KR39" s="82"/>
      <c r="KS39" s="82"/>
      <c r="KT39" s="82"/>
      <c r="KU39" s="82"/>
      <c r="KV39" s="82"/>
      <c r="KW39" s="82"/>
      <c r="KX39" s="82"/>
      <c r="KY39" s="82"/>
      <c r="KZ39" s="82"/>
      <c r="LA39" s="82"/>
      <c r="LB39" s="82"/>
      <c r="LC39" s="82"/>
      <c r="LD39" s="82"/>
      <c r="LE39" s="82"/>
      <c r="LF39" s="82"/>
      <c r="LG39" s="82"/>
      <c r="LH39" s="82"/>
      <c r="LI39" s="82"/>
      <c r="LJ39" s="82"/>
      <c r="LK39" s="82"/>
      <c r="LL39" s="82"/>
      <c r="LM39" s="82"/>
      <c r="LN39" s="82"/>
      <c r="LO39" s="82"/>
      <c r="LP39" s="82"/>
      <c r="LQ39" s="82"/>
      <c r="LR39" s="82"/>
      <c r="LS39" s="82"/>
      <c r="LT39" s="82"/>
      <c r="LU39" s="82"/>
      <c r="LV39" s="82"/>
      <c r="LW39" s="82"/>
      <c r="LX39" s="82"/>
      <c r="LY39" s="82"/>
      <c r="LZ39" s="82"/>
      <c r="MA39" s="82"/>
      <c r="MB39" s="82"/>
      <c r="MC39" s="82"/>
      <c r="MD39" s="82"/>
      <c r="ME39" s="82"/>
      <c r="MF39" s="82"/>
      <c r="MG39" s="82"/>
      <c r="MH39" s="82"/>
      <c r="MI39" s="82"/>
      <c r="MJ39" s="82"/>
      <c r="MK39" s="82"/>
      <c r="ML39" s="82"/>
      <c r="MM39" s="82"/>
      <c r="MN39" s="82"/>
      <c r="MO39" s="82"/>
      <c r="MP39" s="82"/>
      <c r="MQ39" s="82"/>
      <c r="MR39" s="82"/>
      <c r="MS39" s="82"/>
      <c r="MT39" s="82"/>
      <c r="MU39" s="82"/>
      <c r="MV39" s="82"/>
      <c r="MW39" s="82"/>
      <c r="MX39" s="82"/>
      <c r="MY39" s="82"/>
      <c r="MZ39" s="82"/>
      <c r="NA39" s="82"/>
      <c r="NB39" s="82"/>
      <c r="NC39" s="82"/>
      <c r="ND39" s="82"/>
      <c r="NE39" s="82"/>
      <c r="NF39" s="82"/>
      <c r="NG39" s="82"/>
      <c r="NH39" s="82"/>
      <c r="NI39" s="82"/>
      <c r="NJ39" s="82"/>
      <c r="NK39" s="82"/>
      <c r="NL39" s="82"/>
      <c r="NM39" s="82"/>
      <c r="NN39" s="82"/>
      <c r="NO39" s="82"/>
      <c r="NP39" s="82"/>
      <c r="NQ39" s="82"/>
      <c r="NR39" s="82"/>
      <c r="NS39" s="82"/>
      <c r="NT39" s="82"/>
      <c r="NU39" s="82"/>
      <c r="NV39" s="82"/>
      <c r="NW39" s="82"/>
      <c r="NX39" s="82"/>
      <c r="NY39" s="82"/>
      <c r="NZ39" s="82"/>
      <c r="OA39" s="82"/>
      <c r="OB39" s="82"/>
      <c r="OC39" s="82"/>
      <c r="OD39" s="82"/>
      <c r="OE39" s="82"/>
      <c r="OF39" s="82"/>
      <c r="OG39" s="82"/>
      <c r="OH39" s="82"/>
      <c r="OI39" s="82"/>
      <c r="OJ39" s="82"/>
      <c r="OK39" s="82"/>
      <c r="OL39" s="82"/>
      <c r="OM39" s="82"/>
      <c r="ON39" s="82"/>
      <c r="OO39" s="82"/>
      <c r="OP39" s="82"/>
      <c r="OQ39" s="82"/>
      <c r="OR39" s="82"/>
      <c r="OS39" s="82"/>
      <c r="OT39" s="82"/>
      <c r="OU39" s="82"/>
      <c r="OV39" s="82"/>
      <c r="OW39" s="82"/>
      <c r="OX39" s="82"/>
      <c r="OY39" s="82"/>
      <c r="OZ39" s="82"/>
      <c r="PA39" s="82"/>
      <c r="PB39" s="82"/>
      <c r="PC39" s="82"/>
      <c r="PD39" s="82"/>
      <c r="PE39" s="82"/>
      <c r="PF39" s="82"/>
      <c r="PG39" s="82"/>
      <c r="PH39" s="82"/>
      <c r="PI39" s="82"/>
      <c r="PJ39" s="82"/>
      <c r="PK39" s="82"/>
      <c r="PL39" s="82"/>
      <c r="PM39" s="82"/>
      <c r="PN39" s="82"/>
      <c r="PO39" s="82"/>
      <c r="PP39" s="82"/>
      <c r="PQ39" s="82"/>
      <c r="PR39" s="82"/>
      <c r="PS39" s="82"/>
      <c r="PT39" s="82"/>
      <c r="PU39" s="82"/>
      <c r="PV39" s="82"/>
      <c r="PW39" s="82"/>
      <c r="PX39" s="82"/>
      <c r="PY39" s="82"/>
      <c r="PZ39" s="82"/>
      <c r="QA39" s="82"/>
      <c r="QB39" s="82"/>
      <c r="QC39" s="82"/>
      <c r="QD39" s="82"/>
      <c r="QE39" s="82"/>
      <c r="QF39" s="82"/>
      <c r="QG39" s="82"/>
      <c r="QH39" s="82"/>
      <c r="QI39" s="82"/>
      <c r="QJ39" s="82"/>
      <c r="QK39" s="82"/>
      <c r="QL39" s="82"/>
      <c r="QM39" s="82"/>
      <c r="QN39" s="82"/>
      <c r="QO39" s="82"/>
      <c r="QP39" s="82"/>
      <c r="QQ39" s="82"/>
      <c r="QR39" s="82"/>
      <c r="QS39" s="82"/>
      <c r="QT39" s="82"/>
      <c r="QU39" s="82"/>
      <c r="QV39" s="82"/>
      <c r="QW39" s="82"/>
      <c r="QX39" s="82"/>
      <c r="QY39" s="82"/>
      <c r="QZ39" s="82"/>
      <c r="RA39" s="82"/>
      <c r="RB39" s="82"/>
      <c r="RC39" s="82"/>
      <c r="RD39" s="82"/>
      <c r="RE39" s="82"/>
      <c r="RF39" s="82"/>
      <c r="RG39" s="82"/>
      <c r="RH39" s="82"/>
      <c r="RI39" s="82"/>
      <c r="RJ39" s="82"/>
      <c r="RK39" s="82"/>
      <c r="RL39" s="82"/>
      <c r="RM39" s="82"/>
      <c r="RN39" s="82"/>
      <c r="RO39" s="82"/>
      <c r="RP39" s="82"/>
      <c r="RQ39" s="82"/>
      <c r="RR39" s="82"/>
      <c r="RS39" s="82"/>
      <c r="RT39" s="82"/>
      <c r="RU39" s="82"/>
      <c r="RV39" s="82"/>
      <c r="RW39" s="82"/>
      <c r="RX39" s="82"/>
      <c r="RY39" s="82"/>
      <c r="RZ39" s="82"/>
      <c r="SA39" s="82"/>
      <c r="SB39" s="82"/>
      <c r="SC39" s="82"/>
      <c r="SD39" s="82"/>
      <c r="SE39" s="82"/>
      <c r="SF39" s="82"/>
      <c r="SG39" s="82"/>
      <c r="SH39" s="82"/>
      <c r="SI39" s="82"/>
      <c r="SJ39" s="82"/>
      <c r="SK39" s="82"/>
      <c r="SL39" s="82"/>
      <c r="SM39" s="82"/>
      <c r="SN39" s="82"/>
      <c r="SO39" s="82"/>
      <c r="SP39" s="82"/>
      <c r="SQ39" s="82"/>
      <c r="SR39" s="82"/>
      <c r="SS39" s="82"/>
      <c r="ST39" s="82"/>
      <c r="SU39" s="82"/>
      <c r="SV39" s="82"/>
      <c r="SW39" s="82"/>
      <c r="SX39" s="82"/>
      <c r="SY39" s="82"/>
      <c r="SZ39" s="82"/>
      <c r="TA39" s="82"/>
      <c r="TB39" s="82"/>
      <c r="TC39" s="82"/>
      <c r="TD39" s="82"/>
      <c r="TE39" s="82"/>
      <c r="TF39" s="82"/>
      <c r="TG39" s="82"/>
      <c r="TH39" s="82"/>
      <c r="TI39" s="82"/>
      <c r="TJ39" s="82"/>
      <c r="TK39" s="82"/>
      <c r="TL39" s="82"/>
      <c r="TM39" s="82"/>
      <c r="TN39" s="82"/>
      <c r="TO39" s="82"/>
      <c r="TP39" s="82"/>
      <c r="TQ39" s="82"/>
      <c r="TR39" s="82"/>
      <c r="TS39" s="82"/>
      <c r="TT39" s="82"/>
      <c r="TU39" s="82"/>
      <c r="TV39" s="82"/>
      <c r="TW39" s="82"/>
      <c r="TX39" s="82"/>
      <c r="TY39" s="82"/>
      <c r="TZ39" s="82"/>
      <c r="UA39" s="82"/>
      <c r="UB39" s="82"/>
      <c r="UC39" s="82"/>
      <c r="UD39" s="82"/>
      <c r="UE39" s="82"/>
      <c r="UF39" s="82"/>
      <c r="UG39" s="82"/>
      <c r="UH39" s="82"/>
      <c r="UI39" s="82"/>
      <c r="UJ39" s="82"/>
      <c r="UK39" s="82"/>
      <c r="UL39" s="82"/>
      <c r="UM39" s="82"/>
      <c r="UN39" s="82"/>
      <c r="UO39" s="82"/>
      <c r="UP39" s="82"/>
      <c r="UQ39" s="82"/>
      <c r="UR39" s="82"/>
      <c r="US39" s="82"/>
      <c r="UT39" s="82"/>
      <c r="UU39" s="82"/>
      <c r="UV39" s="82"/>
      <c r="UW39" s="82"/>
      <c r="UX39" s="82"/>
      <c r="UY39" s="82"/>
      <c r="UZ39" s="82"/>
      <c r="VA39" s="82"/>
      <c r="VB39" s="82"/>
      <c r="VC39" s="82"/>
      <c r="VD39" s="82"/>
      <c r="VE39" s="82"/>
      <c r="VF39" s="82"/>
      <c r="VG39" s="82"/>
      <c r="VH39" s="82"/>
      <c r="VI39" s="82"/>
      <c r="VJ39" s="82"/>
      <c r="VK39" s="82"/>
      <c r="VL39" s="82"/>
      <c r="VM39" s="82"/>
      <c r="VN39" s="82"/>
      <c r="VO39" s="82"/>
      <c r="VP39" s="82"/>
      <c r="VQ39" s="82"/>
      <c r="VR39" s="82"/>
      <c r="VS39" s="82"/>
      <c r="VT39" s="82"/>
      <c r="VU39" s="82"/>
      <c r="VV39" s="82"/>
      <c r="VW39" s="82"/>
      <c r="VX39" s="82"/>
      <c r="VY39" s="82"/>
      <c r="VZ39" s="82"/>
      <c r="WA39" s="82"/>
      <c r="WB39" s="82"/>
      <c r="WC39" s="82"/>
      <c r="WD39" s="82"/>
      <c r="WE39" s="82"/>
      <c r="WF39" s="82"/>
      <c r="WG39" s="82"/>
      <c r="WH39" s="82"/>
      <c r="WI39" s="82"/>
      <c r="WJ39" s="82"/>
      <c r="WK39" s="82"/>
      <c r="WL39" s="82"/>
      <c r="WM39" s="82"/>
      <c r="WN39" s="82"/>
      <c r="WO39" s="82"/>
      <c r="WP39" s="82"/>
      <c r="WQ39" s="82"/>
      <c r="WR39" s="82"/>
      <c r="WS39" s="82"/>
      <c r="WT39" s="82"/>
      <c r="WU39" s="82"/>
      <c r="WV39" s="82"/>
      <c r="WW39" s="82"/>
      <c r="WX39" s="82"/>
      <c r="WY39" s="82"/>
      <c r="WZ39" s="82"/>
      <c r="XA39" s="82"/>
      <c r="XB39" s="82"/>
      <c r="XC39" s="82"/>
      <c r="XD39" s="82"/>
      <c r="XE39" s="82"/>
      <c r="XF39" s="82"/>
      <c r="XG39" s="82"/>
      <c r="XH39" s="82"/>
      <c r="XI39" s="82"/>
      <c r="XJ39" s="82"/>
      <c r="XK39" s="82"/>
      <c r="XL39" s="82"/>
      <c r="XM39" s="82"/>
      <c r="XN39" s="82"/>
      <c r="XO39" s="82"/>
      <c r="XP39" s="82"/>
      <c r="XQ39" s="82"/>
      <c r="XR39" s="82"/>
      <c r="XS39" s="82"/>
      <c r="XT39" s="82"/>
      <c r="XU39" s="82"/>
      <c r="XV39" s="82"/>
      <c r="XW39" s="82"/>
      <c r="XX39" s="82"/>
      <c r="XY39" s="82"/>
      <c r="XZ39" s="82"/>
      <c r="YA39" s="82"/>
      <c r="YB39" s="82"/>
      <c r="YC39" s="82"/>
      <c r="YD39" s="82"/>
      <c r="YE39" s="82"/>
      <c r="YF39" s="82"/>
      <c r="YG39" s="82"/>
      <c r="YH39" s="82"/>
      <c r="YI39" s="82"/>
      <c r="YJ39" s="82"/>
      <c r="YK39" s="82"/>
      <c r="YL39" s="82"/>
      <c r="YM39" s="82"/>
      <c r="YN39" s="82"/>
      <c r="YO39" s="82"/>
      <c r="YP39" s="82"/>
      <c r="YQ39" s="82"/>
      <c r="YR39" s="82"/>
      <c r="YS39" s="82"/>
      <c r="YT39" s="82"/>
      <c r="YU39" s="82"/>
      <c r="YV39" s="82"/>
      <c r="YW39" s="82"/>
      <c r="YX39" s="82"/>
      <c r="YY39" s="82"/>
      <c r="YZ39" s="82"/>
      <c r="ZA39" s="82"/>
      <c r="ZB39" s="82"/>
      <c r="ZC39" s="82"/>
      <c r="ZD39" s="82"/>
      <c r="ZE39" s="82"/>
      <c r="ZF39" s="82"/>
      <c r="ZG39" s="82"/>
      <c r="ZH39" s="82"/>
      <c r="ZI39" s="82"/>
      <c r="ZJ39" s="82"/>
      <c r="ZK39" s="82"/>
      <c r="ZL39" s="82"/>
      <c r="ZM39" s="82"/>
      <c r="ZN39" s="82"/>
      <c r="ZO39" s="82"/>
      <c r="ZP39" s="82"/>
      <c r="ZQ39" s="82"/>
      <c r="ZR39" s="82"/>
      <c r="ZS39" s="82"/>
      <c r="ZT39" s="82"/>
      <c r="ZU39" s="82"/>
      <c r="ZV39" s="82"/>
      <c r="ZW39" s="82"/>
    </row>
    <row r="40" spans="1:699" ht="15.75" customHeight="1" x14ac:dyDescent="0.2">
      <c r="A40" s="42"/>
      <c r="B40" s="39" t="s">
        <v>229</v>
      </c>
      <c r="C40" s="39"/>
      <c r="D40" s="256"/>
      <c r="E40" s="70"/>
      <c r="F40" s="70"/>
      <c r="G40" s="40"/>
      <c r="H40" s="82"/>
      <c r="I40" s="282">
        <f>(1-B23)-((0.6)*(1+B25)+B22)/(1+B26)</f>
        <v>0.16074766355140202</v>
      </c>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82"/>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82"/>
      <c r="JY40" s="82"/>
      <c r="JZ40" s="82"/>
      <c r="KA40" s="82"/>
      <c r="KB40" s="82"/>
      <c r="KC40" s="82"/>
      <c r="KD40" s="82"/>
      <c r="KE40" s="82"/>
      <c r="KF40" s="82"/>
      <c r="KG40" s="82"/>
      <c r="KH40" s="82"/>
      <c r="KI40" s="82"/>
      <c r="KJ40" s="82"/>
      <c r="KK40" s="82"/>
      <c r="KL40" s="82"/>
      <c r="KM40" s="82"/>
      <c r="KN40" s="82"/>
      <c r="KO40" s="82"/>
      <c r="KP40" s="82"/>
      <c r="KQ40" s="82"/>
      <c r="KR40" s="82"/>
      <c r="KS40" s="82"/>
      <c r="KT40" s="82"/>
      <c r="KU40" s="82"/>
      <c r="KV40" s="82"/>
      <c r="KW40" s="82"/>
      <c r="KX40" s="82"/>
      <c r="KY40" s="82"/>
      <c r="KZ40" s="82"/>
      <c r="LA40" s="82"/>
      <c r="LB40" s="82"/>
      <c r="LC40" s="82"/>
      <c r="LD40" s="82"/>
      <c r="LE40" s="82"/>
      <c r="LF40" s="82"/>
      <c r="LG40" s="82"/>
      <c r="LH40" s="82"/>
      <c r="LI40" s="82"/>
      <c r="LJ40" s="82"/>
      <c r="LK40" s="82"/>
      <c r="LL40" s="82"/>
      <c r="LM40" s="82"/>
      <c r="LN40" s="82"/>
      <c r="LO40" s="82"/>
      <c r="LP40" s="82"/>
      <c r="LQ40" s="82"/>
      <c r="LR40" s="82"/>
      <c r="LS40" s="82"/>
      <c r="LT40" s="82"/>
      <c r="LU40" s="82"/>
      <c r="LV40" s="82"/>
      <c r="LW40" s="82"/>
      <c r="LX40" s="82"/>
      <c r="LY40" s="82"/>
      <c r="LZ40" s="82"/>
      <c r="MA40" s="82"/>
      <c r="MB40" s="82"/>
      <c r="MC40" s="82"/>
      <c r="MD40" s="82"/>
      <c r="ME40" s="82"/>
      <c r="MF40" s="82"/>
      <c r="MG40" s="82"/>
      <c r="MH40" s="82"/>
      <c r="MI40" s="82"/>
      <c r="MJ40" s="82"/>
      <c r="MK40" s="82"/>
      <c r="ML40" s="82"/>
      <c r="MM40" s="82"/>
      <c r="MN40" s="82"/>
      <c r="MO40" s="82"/>
      <c r="MP40" s="82"/>
      <c r="MQ40" s="82"/>
      <c r="MR40" s="82"/>
      <c r="MS40" s="82"/>
      <c r="MT40" s="82"/>
      <c r="MU40" s="82"/>
      <c r="MV40" s="82"/>
      <c r="MW40" s="82"/>
      <c r="MX40" s="82"/>
      <c r="MY40" s="82"/>
      <c r="MZ40" s="82"/>
      <c r="NA40" s="82"/>
      <c r="NB40" s="82"/>
      <c r="NC40" s="82"/>
      <c r="ND40" s="82"/>
      <c r="NE40" s="82"/>
      <c r="NF40" s="82"/>
      <c r="NG40" s="82"/>
      <c r="NH40" s="82"/>
      <c r="NI40" s="82"/>
      <c r="NJ40" s="82"/>
      <c r="NK40" s="82"/>
      <c r="NL40" s="82"/>
      <c r="NM40" s="82"/>
      <c r="NN40" s="82"/>
      <c r="NO40" s="82"/>
      <c r="NP40" s="82"/>
      <c r="NQ40" s="82"/>
      <c r="NR40" s="82"/>
      <c r="NS40" s="82"/>
      <c r="NT40" s="82"/>
      <c r="NU40" s="82"/>
      <c r="NV40" s="82"/>
      <c r="NW40" s="82"/>
      <c r="NX40" s="82"/>
      <c r="NY40" s="82"/>
      <c r="NZ40" s="82"/>
      <c r="OA40" s="82"/>
      <c r="OB40" s="82"/>
      <c r="OC40" s="82"/>
      <c r="OD40" s="82"/>
      <c r="OE40" s="82"/>
      <c r="OF40" s="82"/>
      <c r="OG40" s="82"/>
      <c r="OH40" s="82"/>
      <c r="OI40" s="82"/>
      <c r="OJ40" s="82"/>
      <c r="OK40" s="82"/>
      <c r="OL40" s="82"/>
      <c r="OM40" s="82"/>
      <c r="ON40" s="82"/>
      <c r="OO40" s="82"/>
      <c r="OP40" s="82"/>
      <c r="OQ40" s="82"/>
      <c r="OR40" s="82"/>
      <c r="OS40" s="82"/>
      <c r="OT40" s="82"/>
      <c r="OU40" s="82"/>
      <c r="OV40" s="82"/>
      <c r="OW40" s="82"/>
      <c r="OX40" s="82"/>
      <c r="OY40" s="82"/>
      <c r="OZ40" s="82"/>
      <c r="PA40" s="82"/>
      <c r="PB40" s="82"/>
      <c r="PC40" s="82"/>
      <c r="PD40" s="82"/>
      <c r="PE40" s="82"/>
      <c r="PF40" s="82"/>
      <c r="PG40" s="82"/>
      <c r="PH40" s="82"/>
      <c r="PI40" s="82"/>
      <c r="PJ40" s="82"/>
      <c r="PK40" s="82"/>
      <c r="PL40" s="82"/>
      <c r="PM40" s="82"/>
      <c r="PN40" s="82"/>
      <c r="PO40" s="82"/>
      <c r="PP40" s="82"/>
      <c r="PQ40" s="82"/>
      <c r="PR40" s="82"/>
      <c r="PS40" s="82"/>
      <c r="PT40" s="82"/>
      <c r="PU40" s="82"/>
      <c r="PV40" s="82"/>
      <c r="PW40" s="82"/>
      <c r="PX40" s="82"/>
      <c r="PY40" s="82"/>
      <c r="PZ40" s="82"/>
      <c r="QA40" s="82"/>
      <c r="QB40" s="82"/>
      <c r="QC40" s="82"/>
      <c r="QD40" s="82"/>
      <c r="QE40" s="82"/>
      <c r="QF40" s="82"/>
      <c r="QG40" s="82"/>
      <c r="QH40" s="82"/>
      <c r="QI40" s="82"/>
      <c r="QJ40" s="82"/>
      <c r="QK40" s="82"/>
      <c r="QL40" s="82"/>
      <c r="QM40" s="82"/>
      <c r="QN40" s="82"/>
      <c r="QO40" s="82"/>
      <c r="QP40" s="82"/>
      <c r="QQ40" s="82"/>
      <c r="QR40" s="82"/>
      <c r="QS40" s="82"/>
      <c r="QT40" s="82"/>
      <c r="QU40" s="82"/>
      <c r="QV40" s="82"/>
      <c r="QW40" s="82"/>
      <c r="QX40" s="82"/>
      <c r="QY40" s="82"/>
      <c r="QZ40" s="82"/>
      <c r="RA40" s="82"/>
      <c r="RB40" s="82"/>
      <c r="RC40" s="82"/>
      <c r="RD40" s="82"/>
      <c r="RE40" s="82"/>
      <c r="RF40" s="82"/>
      <c r="RG40" s="82"/>
      <c r="RH40" s="82"/>
      <c r="RI40" s="82"/>
      <c r="RJ40" s="82"/>
      <c r="RK40" s="82"/>
      <c r="RL40" s="82"/>
      <c r="RM40" s="82"/>
      <c r="RN40" s="82"/>
      <c r="RO40" s="82"/>
      <c r="RP40" s="82"/>
      <c r="RQ40" s="82"/>
      <c r="RR40" s="82"/>
      <c r="RS40" s="82"/>
      <c r="RT40" s="82"/>
      <c r="RU40" s="82"/>
      <c r="RV40" s="82"/>
      <c r="RW40" s="82"/>
      <c r="RX40" s="82"/>
      <c r="RY40" s="82"/>
      <c r="RZ40" s="82"/>
      <c r="SA40" s="82"/>
      <c r="SB40" s="82"/>
      <c r="SC40" s="82"/>
      <c r="SD40" s="82"/>
      <c r="SE40" s="82"/>
      <c r="SF40" s="82"/>
      <c r="SG40" s="82"/>
      <c r="SH40" s="82"/>
      <c r="SI40" s="82"/>
      <c r="SJ40" s="82"/>
      <c r="SK40" s="82"/>
      <c r="SL40" s="82"/>
      <c r="SM40" s="82"/>
      <c r="SN40" s="82"/>
      <c r="SO40" s="82"/>
      <c r="SP40" s="82"/>
      <c r="SQ40" s="82"/>
      <c r="SR40" s="82"/>
      <c r="SS40" s="82"/>
      <c r="ST40" s="82"/>
      <c r="SU40" s="82"/>
      <c r="SV40" s="82"/>
      <c r="SW40" s="82"/>
      <c r="SX40" s="82"/>
      <c r="SY40" s="82"/>
      <c r="SZ40" s="82"/>
      <c r="TA40" s="82"/>
      <c r="TB40" s="82"/>
      <c r="TC40" s="82"/>
      <c r="TD40" s="82"/>
      <c r="TE40" s="82"/>
      <c r="TF40" s="82"/>
      <c r="TG40" s="82"/>
      <c r="TH40" s="82"/>
      <c r="TI40" s="82"/>
      <c r="TJ40" s="82"/>
      <c r="TK40" s="82"/>
      <c r="TL40" s="82"/>
      <c r="TM40" s="82"/>
      <c r="TN40" s="82"/>
      <c r="TO40" s="82"/>
      <c r="TP40" s="82"/>
      <c r="TQ40" s="82"/>
      <c r="TR40" s="82"/>
      <c r="TS40" s="82"/>
      <c r="TT40" s="82"/>
      <c r="TU40" s="82"/>
      <c r="TV40" s="82"/>
      <c r="TW40" s="82"/>
      <c r="TX40" s="82"/>
      <c r="TY40" s="82"/>
      <c r="TZ40" s="82"/>
      <c r="UA40" s="82"/>
      <c r="UB40" s="82"/>
      <c r="UC40" s="82"/>
      <c r="UD40" s="82"/>
      <c r="UE40" s="82"/>
      <c r="UF40" s="82"/>
      <c r="UG40" s="82"/>
      <c r="UH40" s="82"/>
      <c r="UI40" s="82"/>
      <c r="UJ40" s="82"/>
      <c r="UK40" s="82"/>
      <c r="UL40" s="82"/>
      <c r="UM40" s="82"/>
      <c r="UN40" s="82"/>
      <c r="UO40" s="82"/>
      <c r="UP40" s="82"/>
      <c r="UQ40" s="82"/>
      <c r="UR40" s="82"/>
      <c r="US40" s="82"/>
      <c r="UT40" s="82"/>
      <c r="UU40" s="82"/>
      <c r="UV40" s="82"/>
      <c r="UW40" s="82"/>
      <c r="UX40" s="82"/>
      <c r="UY40" s="82"/>
      <c r="UZ40" s="82"/>
      <c r="VA40" s="82"/>
      <c r="VB40" s="82"/>
      <c r="VC40" s="82"/>
      <c r="VD40" s="82"/>
      <c r="VE40" s="82"/>
      <c r="VF40" s="82"/>
      <c r="VG40" s="82"/>
      <c r="VH40" s="82"/>
      <c r="VI40" s="82"/>
      <c r="VJ40" s="82"/>
      <c r="VK40" s="82"/>
      <c r="VL40" s="82"/>
      <c r="VM40" s="82"/>
      <c r="VN40" s="82"/>
      <c r="VO40" s="82"/>
      <c r="VP40" s="82"/>
      <c r="VQ40" s="82"/>
      <c r="VR40" s="82"/>
      <c r="VS40" s="82"/>
      <c r="VT40" s="82"/>
      <c r="VU40" s="82"/>
      <c r="VV40" s="82"/>
      <c r="VW40" s="82"/>
      <c r="VX40" s="82"/>
      <c r="VY40" s="82"/>
      <c r="VZ40" s="82"/>
      <c r="WA40" s="82"/>
      <c r="WB40" s="82"/>
      <c r="WC40" s="82"/>
      <c r="WD40" s="82"/>
      <c r="WE40" s="82"/>
      <c r="WF40" s="82"/>
      <c r="WG40" s="82"/>
      <c r="WH40" s="82"/>
      <c r="WI40" s="82"/>
      <c r="WJ40" s="82"/>
      <c r="WK40" s="82"/>
      <c r="WL40" s="82"/>
      <c r="WM40" s="82"/>
      <c r="WN40" s="82"/>
      <c r="WO40" s="82"/>
      <c r="WP40" s="82"/>
      <c r="WQ40" s="82"/>
      <c r="WR40" s="82"/>
      <c r="WS40" s="82"/>
      <c r="WT40" s="82"/>
      <c r="WU40" s="82"/>
      <c r="WV40" s="82"/>
      <c r="WW40" s="82"/>
      <c r="WX40" s="82"/>
      <c r="WY40" s="82"/>
      <c r="WZ40" s="82"/>
      <c r="XA40" s="82"/>
      <c r="XB40" s="82"/>
      <c r="XC40" s="82"/>
      <c r="XD40" s="82"/>
      <c r="XE40" s="82"/>
      <c r="XF40" s="82"/>
      <c r="XG40" s="82"/>
      <c r="XH40" s="82"/>
      <c r="XI40" s="82"/>
      <c r="XJ40" s="82"/>
      <c r="XK40" s="82"/>
      <c r="XL40" s="82"/>
      <c r="XM40" s="82"/>
      <c r="XN40" s="82"/>
      <c r="XO40" s="82"/>
      <c r="XP40" s="82"/>
      <c r="XQ40" s="82"/>
      <c r="XR40" s="82"/>
      <c r="XS40" s="82"/>
      <c r="XT40" s="82"/>
      <c r="XU40" s="82"/>
      <c r="XV40" s="82"/>
      <c r="XW40" s="82"/>
      <c r="XX40" s="82"/>
      <c r="XY40" s="82"/>
      <c r="XZ40" s="82"/>
      <c r="YA40" s="82"/>
      <c r="YB40" s="82"/>
      <c r="YC40" s="82"/>
      <c r="YD40" s="82"/>
      <c r="YE40" s="82"/>
      <c r="YF40" s="82"/>
      <c r="YG40" s="82"/>
      <c r="YH40" s="82"/>
      <c r="YI40" s="82"/>
      <c r="YJ40" s="82"/>
      <c r="YK40" s="82"/>
      <c r="YL40" s="82"/>
      <c r="YM40" s="82"/>
      <c r="YN40" s="82"/>
      <c r="YO40" s="82"/>
      <c r="YP40" s="82"/>
      <c r="YQ40" s="82"/>
      <c r="YR40" s="82"/>
      <c r="YS40" s="82"/>
      <c r="YT40" s="82"/>
      <c r="YU40" s="82"/>
      <c r="YV40" s="82"/>
      <c r="YW40" s="82"/>
      <c r="YX40" s="82"/>
      <c r="YY40" s="82"/>
      <c r="YZ40" s="82"/>
      <c r="ZA40" s="82"/>
      <c r="ZB40" s="82"/>
      <c r="ZC40" s="82"/>
      <c r="ZD40" s="82"/>
      <c r="ZE40" s="82"/>
      <c r="ZF40" s="82"/>
      <c r="ZG40" s="82"/>
      <c r="ZH40" s="82"/>
      <c r="ZI40" s="82"/>
      <c r="ZJ40" s="82"/>
      <c r="ZK40" s="82"/>
      <c r="ZL40" s="82"/>
      <c r="ZM40" s="82"/>
      <c r="ZN40" s="82"/>
      <c r="ZO40" s="82"/>
      <c r="ZP40" s="82"/>
      <c r="ZQ40" s="82"/>
      <c r="ZR40" s="82"/>
      <c r="ZS40" s="82"/>
      <c r="ZT40" s="82"/>
      <c r="ZU40" s="82"/>
      <c r="ZV40" s="82"/>
      <c r="ZW40" s="82"/>
    </row>
    <row r="41" spans="1:699" ht="15.75" customHeight="1" thickBot="1" x14ac:dyDescent="0.25">
      <c r="A41" s="75"/>
      <c r="B41" s="76"/>
      <c r="C41" s="257"/>
      <c r="D41" s="258"/>
      <c r="E41" s="258"/>
      <c r="F41" s="258"/>
      <c r="G41" s="259"/>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row>
    <row r="42" spans="1:699" ht="15.75" customHeight="1" x14ac:dyDescent="0.2">
      <c r="A42" s="26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row>
    <row r="43" spans="1:699" ht="15.75" customHeight="1" x14ac:dyDescent="0.2">
      <c r="A43" s="26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row>
    <row r="44" spans="1:699" ht="15.75" customHeight="1" x14ac:dyDescent="0.2">
      <c r="A44" s="26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row>
    <row r="45" spans="1:699" ht="15.75" customHeight="1" x14ac:dyDescent="0.2">
      <c r="A45" s="260"/>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row>
    <row r="46" spans="1:699" ht="15.75" customHeight="1" x14ac:dyDescent="0.2">
      <c r="A46" s="26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row>
    <row r="47" spans="1:699" ht="15.75" customHeight="1" x14ac:dyDescent="0.2">
      <c r="A47" s="260"/>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row>
    <row r="48" spans="1:699" ht="15.75" customHeight="1" x14ac:dyDescent="0.2">
      <c r="A48" s="260"/>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row>
    <row r="49" spans="1:52" ht="15.75" customHeight="1" x14ac:dyDescent="0.2">
      <c r="A49" s="260"/>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row>
    <row r="50" spans="1:52" ht="15.75" customHeight="1" x14ac:dyDescent="0.2">
      <c r="A50" s="260"/>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row>
    <row r="51" spans="1:52" ht="15.75" customHeight="1" x14ac:dyDescent="0.2">
      <c r="A51" s="260"/>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row>
    <row r="52" spans="1:52" ht="15.75" customHeight="1" x14ac:dyDescent="0.2">
      <c r="A52" s="260"/>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row>
    <row r="53" spans="1:52" ht="15.75" customHeight="1" x14ac:dyDescent="0.2">
      <c r="A53" s="26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row>
    <row r="54" spans="1:52" ht="15.75" customHeight="1" x14ac:dyDescent="0.2">
      <c r="A54" s="260"/>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row>
    <row r="55" spans="1:52" ht="15.75" customHeight="1" x14ac:dyDescent="0.2">
      <c r="A55" s="26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row>
    <row r="56" spans="1:52" ht="15.75" customHeight="1" x14ac:dyDescent="0.2">
      <c r="A56" s="26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row>
    <row r="57" spans="1:52" ht="15.75" customHeight="1" x14ac:dyDescent="0.2">
      <c r="A57" s="26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row>
    <row r="58" spans="1:52" ht="15.75" customHeight="1" x14ac:dyDescent="0.2">
      <c r="A58" s="26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row>
    <row r="59" spans="1:52" ht="15.75" customHeight="1" x14ac:dyDescent="0.2">
      <c r="A59" s="26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row>
    <row r="60" spans="1:52" ht="15.75" customHeight="1" x14ac:dyDescent="0.2">
      <c r="A60" s="26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row>
    <row r="61" spans="1:52" ht="15.75" customHeight="1" x14ac:dyDescent="0.2">
      <c r="A61" s="26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row>
    <row r="62" spans="1:52" ht="15.75" customHeight="1" x14ac:dyDescent="0.2">
      <c r="A62" s="26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row>
    <row r="63" spans="1:52" ht="15.75" customHeight="1" x14ac:dyDescent="0.2">
      <c r="A63" s="26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row>
    <row r="64" spans="1:52" ht="15.75" customHeight="1" x14ac:dyDescent="0.2">
      <c r="A64" s="26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row>
    <row r="65" spans="1:52" ht="15.75" customHeight="1" x14ac:dyDescent="0.2">
      <c r="A65" s="26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row>
    <row r="66" spans="1:52" ht="15.75" customHeight="1" x14ac:dyDescent="0.2">
      <c r="A66" s="26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row>
    <row r="67" spans="1:52" ht="15.75" customHeight="1" x14ac:dyDescent="0.2">
      <c r="A67" s="260"/>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row>
    <row r="68" spans="1:52" ht="15.75" customHeight="1" x14ac:dyDescent="0.2">
      <c r="A68" s="26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row>
    <row r="69" spans="1:52" ht="15.75" customHeight="1" x14ac:dyDescent="0.2">
      <c r="A69" s="26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row>
    <row r="70" spans="1:52" ht="15.75" customHeight="1" x14ac:dyDescent="0.2">
      <c r="A70" s="26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row>
    <row r="71" spans="1:52" ht="15.75" customHeight="1" x14ac:dyDescent="0.2">
      <c r="A71" s="26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row>
    <row r="72" spans="1:52" ht="15.75" customHeight="1" x14ac:dyDescent="0.2">
      <c r="A72" s="26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row>
    <row r="73" spans="1:52" ht="15.75" customHeight="1" x14ac:dyDescent="0.2">
      <c r="A73" s="26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row>
    <row r="74" spans="1:52" ht="15.75" customHeight="1" x14ac:dyDescent="0.2">
      <c r="A74" s="26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row>
    <row r="75" spans="1:52" ht="15.75" customHeight="1" x14ac:dyDescent="0.2">
      <c r="A75" s="26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row>
    <row r="76" spans="1:52" ht="15.75" customHeight="1" x14ac:dyDescent="0.2">
      <c r="A76" s="26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row>
    <row r="77" spans="1:52" ht="15.75" customHeight="1" x14ac:dyDescent="0.2">
      <c r="A77" s="26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row>
    <row r="78" spans="1:52" ht="15.75" customHeight="1" x14ac:dyDescent="0.2">
      <c r="A78" s="26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row>
    <row r="79" spans="1:52" ht="15.75" customHeight="1" x14ac:dyDescent="0.2">
      <c r="A79" s="26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row>
    <row r="80" spans="1:52" ht="15.75" customHeight="1" x14ac:dyDescent="0.2">
      <c r="A80" s="26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row>
    <row r="81" spans="1:52" ht="15.75" customHeight="1" x14ac:dyDescent="0.2">
      <c r="A81" s="26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row>
    <row r="82" spans="1:52" ht="15.75" customHeight="1" x14ac:dyDescent="0.2">
      <c r="A82" s="26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row>
    <row r="83" spans="1:52" ht="15.75" customHeight="1" x14ac:dyDescent="0.2">
      <c r="A83" s="26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row>
    <row r="84" spans="1:52" ht="15.75" customHeight="1" x14ac:dyDescent="0.2">
      <c r="A84" s="26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row>
    <row r="85" spans="1:52" ht="15.75" customHeight="1" x14ac:dyDescent="0.2">
      <c r="A85" s="26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row>
    <row r="86" spans="1:52" ht="15.75" customHeight="1" x14ac:dyDescent="0.2">
      <c r="A86" s="26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row>
    <row r="87" spans="1:52" ht="15.75" customHeight="1" x14ac:dyDescent="0.2">
      <c r="A87" s="26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row>
    <row r="88" spans="1:52" ht="15.75" customHeight="1" x14ac:dyDescent="0.2">
      <c r="A88" s="26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row>
    <row r="89" spans="1:52" ht="15.75" customHeight="1" x14ac:dyDescent="0.2">
      <c r="A89" s="26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row>
    <row r="90" spans="1:52" ht="15.75" customHeight="1" x14ac:dyDescent="0.2">
      <c r="A90" s="26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row>
    <row r="91" spans="1:52" ht="15.75" customHeight="1" x14ac:dyDescent="0.2">
      <c r="A91" s="26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row>
    <row r="92" spans="1:52" ht="15.75" customHeight="1" x14ac:dyDescent="0.2">
      <c r="A92" s="26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row>
    <row r="93" spans="1:52" ht="15.75" customHeight="1" x14ac:dyDescent="0.2">
      <c r="A93" s="26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row>
    <row r="94" spans="1:52" ht="15.75" customHeight="1" x14ac:dyDescent="0.2">
      <c r="A94" s="26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row>
    <row r="95" spans="1:52" ht="15.75" customHeight="1" x14ac:dyDescent="0.2">
      <c r="A95" s="26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row>
    <row r="96" spans="1:52" ht="15.75" customHeight="1" x14ac:dyDescent="0.2">
      <c r="A96" s="26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row>
    <row r="97" spans="1:52" ht="15.75" customHeight="1" x14ac:dyDescent="0.2">
      <c r="A97" s="26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row>
    <row r="98" spans="1:52" ht="15.75" customHeight="1" x14ac:dyDescent="0.2">
      <c r="A98" s="26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row>
    <row r="99" spans="1:52" ht="15.75" customHeight="1" x14ac:dyDescent="0.2">
      <c r="A99" s="26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row>
    <row r="100" spans="1:52" ht="15.75" customHeight="1" x14ac:dyDescent="0.2">
      <c r="A100" s="26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row>
    <row r="101" spans="1:52" ht="15.75" customHeight="1" x14ac:dyDescent="0.2">
      <c r="A101" s="26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row>
    <row r="102" spans="1:52" ht="15.75" customHeight="1" x14ac:dyDescent="0.2">
      <c r="A102" s="26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row>
    <row r="103" spans="1:52" ht="15.75" customHeight="1" x14ac:dyDescent="0.2">
      <c r="A103" s="26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row>
    <row r="104" spans="1:52" ht="15.75" customHeight="1" x14ac:dyDescent="0.2">
      <c r="A104" s="26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row>
    <row r="105" spans="1:52" ht="15.75" customHeight="1" x14ac:dyDescent="0.2">
      <c r="A105" s="26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row>
    <row r="106" spans="1:52" ht="15.75" customHeight="1" x14ac:dyDescent="0.2">
      <c r="A106" s="26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row>
    <row r="107" spans="1:52" ht="15.75" customHeight="1" x14ac:dyDescent="0.2">
      <c r="A107" s="26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row>
    <row r="108" spans="1:52" ht="15.75" customHeight="1" x14ac:dyDescent="0.2">
      <c r="A108" s="26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row>
    <row r="109" spans="1:52" ht="15.75" customHeight="1" x14ac:dyDescent="0.2">
      <c r="A109" s="26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row>
    <row r="110" spans="1:52" ht="15.75" customHeight="1" x14ac:dyDescent="0.2">
      <c r="A110" s="26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row>
    <row r="111" spans="1:52" ht="15.75" customHeight="1" x14ac:dyDescent="0.2">
      <c r="A111" s="26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row>
    <row r="112" spans="1:52" ht="15.75" customHeight="1" x14ac:dyDescent="0.2">
      <c r="A112" s="26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row>
    <row r="113" spans="1:52" ht="15.75" customHeight="1" x14ac:dyDescent="0.2">
      <c r="A113" s="26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row>
    <row r="114" spans="1:52" ht="15.75" customHeight="1" x14ac:dyDescent="0.2">
      <c r="A114" s="26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row>
    <row r="115" spans="1:52" ht="15.75" customHeight="1" x14ac:dyDescent="0.2">
      <c r="A115" s="26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row>
    <row r="116" spans="1:52" ht="15.75" customHeight="1" x14ac:dyDescent="0.2">
      <c r="A116" s="26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row>
    <row r="117" spans="1:52" ht="15.75" customHeight="1" x14ac:dyDescent="0.2">
      <c r="A117" s="26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row>
    <row r="118" spans="1:52" ht="15.75" customHeight="1" x14ac:dyDescent="0.2">
      <c r="A118" s="26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row>
    <row r="119" spans="1:52" ht="15.75" customHeight="1" x14ac:dyDescent="0.2">
      <c r="A119" s="26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row>
    <row r="120" spans="1:52" ht="15.75" customHeight="1" x14ac:dyDescent="0.2">
      <c r="A120" s="26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row>
    <row r="121" spans="1:52" ht="15.75" customHeight="1" x14ac:dyDescent="0.2">
      <c r="A121" s="26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row>
    <row r="122" spans="1:52" ht="15.75" customHeight="1" x14ac:dyDescent="0.2">
      <c r="A122" s="26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row>
    <row r="123" spans="1:52" ht="15.75" customHeight="1" x14ac:dyDescent="0.2">
      <c r="A123" s="26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row>
    <row r="124" spans="1:52" ht="15.75" customHeight="1" x14ac:dyDescent="0.2">
      <c r="A124" s="26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row>
    <row r="125" spans="1:52" ht="15.75" customHeight="1" x14ac:dyDescent="0.2">
      <c r="A125" s="26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row>
    <row r="126" spans="1:52" ht="15.75" customHeight="1" x14ac:dyDescent="0.2">
      <c r="A126" s="26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row>
    <row r="127" spans="1:52" ht="15.75" customHeight="1" x14ac:dyDescent="0.2">
      <c r="A127" s="26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row>
    <row r="128" spans="1:52" ht="15.75" customHeight="1" x14ac:dyDescent="0.2">
      <c r="A128" s="26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row>
    <row r="129" spans="1:52" ht="15.75" customHeight="1" x14ac:dyDescent="0.2">
      <c r="A129" s="26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row>
    <row r="130" spans="1:52" ht="15.75" customHeight="1" x14ac:dyDescent="0.2">
      <c r="A130" s="26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row>
    <row r="131" spans="1:52" ht="15.75" customHeight="1" x14ac:dyDescent="0.2">
      <c r="A131" s="26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row>
    <row r="132" spans="1:52" ht="15.75" customHeight="1" x14ac:dyDescent="0.2">
      <c r="A132" s="26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row>
    <row r="133" spans="1:52" ht="15.75" customHeight="1" x14ac:dyDescent="0.2">
      <c r="A133" s="26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row>
    <row r="134" spans="1:52" ht="15.75" customHeight="1" x14ac:dyDescent="0.2">
      <c r="A134" s="26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row>
    <row r="135" spans="1:52" ht="15.75" customHeight="1" x14ac:dyDescent="0.2">
      <c r="A135" s="26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row>
    <row r="136" spans="1:52" ht="15.75" customHeight="1" x14ac:dyDescent="0.2">
      <c r="A136" s="26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row>
    <row r="137" spans="1:52" ht="15.75" customHeight="1" x14ac:dyDescent="0.2">
      <c r="A137" s="26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row>
    <row r="138" spans="1:52" ht="15.75" customHeight="1" x14ac:dyDescent="0.2">
      <c r="A138" s="26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row>
    <row r="139" spans="1:52" ht="15.75" customHeight="1" x14ac:dyDescent="0.2">
      <c r="A139" s="26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row>
    <row r="140" spans="1:52" ht="15.75" customHeight="1" x14ac:dyDescent="0.2">
      <c r="A140" s="26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row>
    <row r="141" spans="1:52" ht="15.75" customHeight="1" x14ac:dyDescent="0.2">
      <c r="A141" s="26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row>
    <row r="142" spans="1:52" ht="15.75" customHeight="1" x14ac:dyDescent="0.2">
      <c r="A142" s="26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row>
    <row r="143" spans="1:52" ht="15.75" customHeight="1" x14ac:dyDescent="0.2">
      <c r="A143" s="26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row>
    <row r="144" spans="1:52" ht="15.75" customHeight="1" x14ac:dyDescent="0.2">
      <c r="A144" s="26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row>
    <row r="145" spans="1:52" ht="15.75" customHeight="1" x14ac:dyDescent="0.2">
      <c r="A145" s="26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row>
    <row r="146" spans="1:52" ht="15.75" customHeight="1" x14ac:dyDescent="0.2">
      <c r="A146" s="26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row>
    <row r="147" spans="1:52" ht="15.75" customHeight="1" x14ac:dyDescent="0.2">
      <c r="A147" s="26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row>
    <row r="148" spans="1:52" ht="15.75" customHeight="1" x14ac:dyDescent="0.2">
      <c r="A148" s="26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row>
    <row r="149" spans="1:52" ht="15.75" customHeight="1" x14ac:dyDescent="0.2">
      <c r="A149" s="26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row>
    <row r="150" spans="1:52" ht="15.75" customHeight="1" x14ac:dyDescent="0.2">
      <c r="A150" s="26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row>
    <row r="151" spans="1:52" ht="15.75" customHeight="1" x14ac:dyDescent="0.2">
      <c r="A151" s="26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row>
    <row r="152" spans="1:52" ht="15.75" customHeight="1" x14ac:dyDescent="0.2">
      <c r="A152" s="26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row>
    <row r="153" spans="1:52" ht="15.75" customHeight="1" x14ac:dyDescent="0.2">
      <c r="A153" s="26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row>
    <row r="154" spans="1:52" ht="15.75" customHeight="1" x14ac:dyDescent="0.2">
      <c r="A154" s="26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row>
    <row r="155" spans="1:52" ht="15.75" customHeight="1" x14ac:dyDescent="0.2">
      <c r="A155" s="26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row>
    <row r="156" spans="1:52" ht="15.75" customHeight="1" x14ac:dyDescent="0.2">
      <c r="A156" s="26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row>
    <row r="157" spans="1:52" ht="15.75" customHeight="1" x14ac:dyDescent="0.2">
      <c r="A157" s="26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row>
    <row r="158" spans="1:52" ht="15.75" customHeight="1" x14ac:dyDescent="0.2">
      <c r="A158" s="26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row>
    <row r="159" spans="1:52" ht="15.75" customHeight="1" x14ac:dyDescent="0.2">
      <c r="A159" s="26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row>
    <row r="160" spans="1:52" ht="15.75" customHeight="1" x14ac:dyDescent="0.2">
      <c r="A160" s="26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row>
    <row r="161" spans="1:52" ht="15.75" customHeight="1" x14ac:dyDescent="0.2">
      <c r="A161" s="26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row>
    <row r="162" spans="1:52" ht="15.75" customHeight="1" x14ac:dyDescent="0.2">
      <c r="A162" s="26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row>
    <row r="163" spans="1:52" ht="15.75" customHeight="1" x14ac:dyDescent="0.2">
      <c r="A163" s="26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row>
    <row r="164" spans="1:52" ht="15.75" customHeight="1" x14ac:dyDescent="0.2">
      <c r="A164" s="26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row>
    <row r="165" spans="1:52" ht="15.75" customHeight="1" x14ac:dyDescent="0.2">
      <c r="A165" s="26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row>
    <row r="166" spans="1:52" ht="15.75" customHeight="1" x14ac:dyDescent="0.2">
      <c r="A166" s="26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row>
    <row r="167" spans="1:52" ht="15.75" customHeight="1" x14ac:dyDescent="0.2">
      <c r="A167" s="26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row>
    <row r="168" spans="1:52" ht="15.75" customHeight="1" x14ac:dyDescent="0.2">
      <c r="A168" s="26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row>
    <row r="169" spans="1:52" ht="15.75" customHeight="1" x14ac:dyDescent="0.2">
      <c r="A169" s="26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row>
    <row r="170" spans="1:52" ht="15.75" customHeight="1" x14ac:dyDescent="0.2">
      <c r="A170" s="26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row>
    <row r="171" spans="1:52" ht="15.75" customHeight="1" x14ac:dyDescent="0.2">
      <c r="A171" s="26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row>
    <row r="172" spans="1:52" ht="15.75" customHeight="1" x14ac:dyDescent="0.2">
      <c r="A172" s="26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row>
    <row r="173" spans="1:52" ht="15.75" customHeight="1" x14ac:dyDescent="0.2">
      <c r="A173" s="26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row>
    <row r="174" spans="1:52" ht="15.75" customHeight="1" x14ac:dyDescent="0.2">
      <c r="A174" s="26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row>
    <row r="175" spans="1:52" ht="15.75" customHeight="1" x14ac:dyDescent="0.2">
      <c r="A175" s="26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row>
    <row r="176" spans="1:52" ht="15.75" customHeight="1" x14ac:dyDescent="0.2">
      <c r="A176" s="26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row>
    <row r="177" spans="1:52" ht="15.75" customHeight="1" x14ac:dyDescent="0.2">
      <c r="A177" s="26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row>
    <row r="178" spans="1:52" ht="15.75" customHeight="1" x14ac:dyDescent="0.2">
      <c r="A178" s="26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row>
    <row r="179" spans="1:52" ht="15.75" customHeight="1" x14ac:dyDescent="0.2">
      <c r="A179" s="26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row>
    <row r="180" spans="1:52" ht="15.75" customHeight="1" x14ac:dyDescent="0.2">
      <c r="A180" s="26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row>
    <row r="181" spans="1:52" ht="15.75" customHeight="1" x14ac:dyDescent="0.2">
      <c r="A181" s="26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row>
    <row r="182" spans="1:52" ht="15.75" customHeight="1" x14ac:dyDescent="0.2">
      <c r="A182" s="26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row>
    <row r="183" spans="1:52" ht="15.75" customHeight="1" x14ac:dyDescent="0.2">
      <c r="A183" s="26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row>
    <row r="184" spans="1:52" ht="15.75" customHeight="1" x14ac:dyDescent="0.2">
      <c r="A184" s="26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row>
    <row r="185" spans="1:52" ht="15.75" customHeight="1" x14ac:dyDescent="0.2">
      <c r="A185" s="26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row>
    <row r="186" spans="1:52" ht="15.75" customHeight="1" x14ac:dyDescent="0.2">
      <c r="A186" s="26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row>
    <row r="187" spans="1:52" ht="15.75" customHeight="1" x14ac:dyDescent="0.2">
      <c r="A187" s="26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row>
    <row r="188" spans="1:52" ht="15.75" customHeight="1" x14ac:dyDescent="0.2">
      <c r="A188" s="26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row>
    <row r="189" spans="1:52" ht="15.75" customHeight="1" x14ac:dyDescent="0.2">
      <c r="A189" s="26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row>
    <row r="190" spans="1:52" ht="15.75" customHeight="1" x14ac:dyDescent="0.2">
      <c r="A190" s="26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row>
    <row r="191" spans="1:52" ht="15.75" customHeight="1" x14ac:dyDescent="0.2">
      <c r="A191" s="26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row>
    <row r="192" spans="1:52" ht="15.75" customHeight="1" x14ac:dyDescent="0.2">
      <c r="A192" s="26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row>
    <row r="193" spans="1:52" ht="15.75" customHeight="1" x14ac:dyDescent="0.2">
      <c r="A193" s="26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row>
    <row r="194" spans="1:52" ht="15.75" customHeight="1" x14ac:dyDescent="0.2">
      <c r="A194" s="26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row>
    <row r="195" spans="1:52" ht="15.75" customHeight="1" x14ac:dyDescent="0.2">
      <c r="A195" s="26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row>
    <row r="196" spans="1:52" ht="15.75" customHeight="1" x14ac:dyDescent="0.2">
      <c r="A196" s="262"/>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row>
    <row r="197" spans="1:52" ht="0" hidden="1" customHeight="1" x14ac:dyDescent="0.2">
      <c r="A197" s="262"/>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row>
    <row r="198" spans="1:52" ht="0" hidden="1" customHeight="1" x14ac:dyDescent="0.2">
      <c r="A198" s="262"/>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row>
    <row r="199" spans="1:52" ht="0" hidden="1" customHeight="1" x14ac:dyDescent="0.2">
      <c r="A199" s="262"/>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row>
    <row r="200" spans="1:52" ht="0" hidden="1" customHeight="1" x14ac:dyDescent="0.2">
      <c r="A200" s="262"/>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row>
    <row r="201" spans="1:52" ht="0" hidden="1" customHeight="1" x14ac:dyDescent="0.2">
      <c r="A201" s="263"/>
      <c r="B201" s="263"/>
      <c r="C201" s="263"/>
      <c r="D201" s="263"/>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c r="AA201" s="263"/>
      <c r="AB201" s="263"/>
      <c r="AC201" s="263"/>
      <c r="AD201" s="263"/>
      <c r="AE201" s="263"/>
      <c r="AF201" s="263"/>
      <c r="AG201" s="263"/>
      <c r="AH201" s="263"/>
      <c r="AI201" s="263"/>
      <c r="AJ201" s="263"/>
      <c r="AK201" s="263"/>
      <c r="AL201" s="263"/>
      <c r="AM201" s="263"/>
      <c r="AN201" s="263"/>
      <c r="AO201" s="263"/>
      <c r="AP201" s="263"/>
      <c r="AQ201" s="263"/>
      <c r="AR201" s="263"/>
      <c r="AS201" s="263"/>
      <c r="AT201" s="263"/>
      <c r="AU201" s="263"/>
      <c r="AV201" s="263"/>
      <c r="AW201" s="263"/>
    </row>
  </sheetData>
  <sheetProtection formatCells="0" formatColumns="0" formatRows="0" autoFilter="0"/>
  <pageMargins left="0.75" right="0.75" top="1" bottom="1" header="0.5" footer="0.5"/>
  <pageSetup scale="77" orientation="portrait"/>
  <headerFooter alignWithMargins="0">
    <oddHeader>&amp;CSpring 2018 Exam 5 Make-Up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Z200"/>
  <sheetViews>
    <sheetView workbookViewId="0"/>
  </sheetViews>
  <sheetFormatPr defaultColWidth="0" defaultRowHeight="0" customHeight="1" zeroHeight="1" x14ac:dyDescent="0.2"/>
  <cols>
    <col min="1" max="5" width="14.625" style="201" customWidth="1"/>
    <col min="6" max="7" width="8.875" style="201" customWidth="1"/>
    <col min="8" max="8" width="28.125" style="201" customWidth="1"/>
    <col min="9" max="49" width="8.875" style="201" customWidth="1"/>
    <col min="50" max="16384" width="8.875" style="201" hidden="1"/>
  </cols>
  <sheetData>
    <row r="1" spans="1:52" ht="15.75" customHeight="1" thickBot="1" x14ac:dyDescent="0.25">
      <c r="A1" s="1">
        <v>7</v>
      </c>
      <c r="B1" s="2"/>
      <c r="C1" s="283"/>
      <c r="D1" s="283"/>
      <c r="E1" s="283"/>
      <c r="F1" s="283"/>
      <c r="G1" s="283"/>
      <c r="H1" s="284"/>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row>
    <row r="2" spans="1:52" ht="15.75" customHeight="1" x14ac:dyDescent="0.2">
      <c r="A2" s="38" t="s">
        <v>0</v>
      </c>
      <c r="B2" s="285"/>
      <c r="C2" s="285"/>
      <c r="D2" s="285"/>
      <c r="E2" s="285"/>
      <c r="F2" s="285"/>
      <c r="G2" s="285"/>
      <c r="H2" s="286"/>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row>
    <row r="3" spans="1:52" ht="15.75" customHeight="1" x14ac:dyDescent="0.2">
      <c r="A3" s="42">
        <v>2</v>
      </c>
      <c r="B3" s="39"/>
      <c r="C3" s="285"/>
      <c r="D3" s="285"/>
      <c r="E3" s="285"/>
      <c r="F3" s="285"/>
      <c r="G3" s="285"/>
      <c r="H3" s="286"/>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row>
    <row r="4" spans="1:52" ht="15.75" customHeight="1" x14ac:dyDescent="0.2">
      <c r="A4" s="42"/>
      <c r="B4" s="287" t="s">
        <v>293</v>
      </c>
      <c r="C4" s="287"/>
      <c r="D4" s="287"/>
      <c r="E4" s="287"/>
      <c r="F4" s="287"/>
      <c r="G4" s="287"/>
      <c r="H4" s="288"/>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row>
    <row r="5" spans="1:52" ht="15.75" customHeight="1" x14ac:dyDescent="0.2">
      <c r="A5" s="42"/>
      <c r="B5" s="287" t="s">
        <v>294</v>
      </c>
      <c r="C5" s="287"/>
      <c r="D5" s="287"/>
      <c r="E5" s="287"/>
      <c r="F5" s="287"/>
      <c r="G5" s="287"/>
      <c r="H5" s="288"/>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row>
    <row r="6" spans="1:52" ht="15.75" customHeight="1" x14ac:dyDescent="0.2">
      <c r="A6" s="42"/>
      <c r="B6" s="287"/>
      <c r="C6" s="287"/>
      <c r="D6" s="287"/>
      <c r="E6" s="287"/>
      <c r="F6" s="287"/>
      <c r="G6" s="287"/>
      <c r="H6" s="288"/>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row>
    <row r="7" spans="1:52" ht="15.75" customHeight="1" x14ac:dyDescent="0.2">
      <c r="A7" s="42"/>
      <c r="B7" s="287" t="s">
        <v>295</v>
      </c>
      <c r="C7" s="287"/>
      <c r="D7" s="287"/>
      <c r="E7" s="287"/>
      <c r="F7" s="287"/>
      <c r="G7" s="287"/>
      <c r="H7" s="288"/>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row>
    <row r="8" spans="1:52" ht="15.75" customHeight="1" x14ac:dyDescent="0.2">
      <c r="A8" s="42"/>
      <c r="B8" s="285" t="s">
        <v>296</v>
      </c>
      <c r="C8" s="287"/>
      <c r="D8" s="287"/>
      <c r="E8" s="287"/>
      <c r="F8" s="287"/>
      <c r="G8" s="287"/>
      <c r="H8" s="288"/>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row>
    <row r="9" spans="1:52" ht="15.75" customHeight="1" thickBot="1" x14ac:dyDescent="0.25">
      <c r="A9" s="75"/>
      <c r="B9" s="289"/>
      <c r="C9" s="289"/>
      <c r="D9" s="289"/>
      <c r="E9" s="289"/>
      <c r="F9" s="289"/>
      <c r="G9" s="289"/>
      <c r="H9" s="29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row>
    <row r="10" spans="1:52" ht="15.75" customHeight="1" x14ac:dyDescent="0.2">
      <c r="A10" s="260"/>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row>
    <row r="11" spans="1:52" ht="15.75" customHeight="1" x14ac:dyDescent="0.2">
      <c r="A11" s="260"/>
      <c r="B11" s="200"/>
      <c r="C11" s="200" t="s">
        <v>297</v>
      </c>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row>
    <row r="12" spans="1:52" ht="15.75" customHeight="1" x14ac:dyDescent="0.2">
      <c r="A12" s="260"/>
      <c r="B12" s="200"/>
      <c r="C12" s="200" t="s">
        <v>298</v>
      </c>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row>
    <row r="13" spans="1:52" ht="15.75" customHeight="1" x14ac:dyDescent="0.2">
      <c r="A13" s="260"/>
      <c r="B13" s="200"/>
      <c r="C13" s="200" t="s">
        <v>299</v>
      </c>
      <c r="D13" s="200"/>
      <c r="E13" s="200"/>
      <c r="F13" s="200"/>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row>
    <row r="14" spans="1:52" ht="15.75" customHeight="1" x14ac:dyDescent="0.2">
      <c r="A14" s="260"/>
      <c r="B14" s="200"/>
      <c r="C14" s="200" t="s">
        <v>300</v>
      </c>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row>
    <row r="15" spans="1:52" ht="15.75" customHeight="1" x14ac:dyDescent="0.2">
      <c r="A15" s="260"/>
      <c r="B15" s="200"/>
      <c r="C15" s="200"/>
      <c r="D15" s="200"/>
      <c r="E15" s="200"/>
      <c r="F15" s="200"/>
      <c r="G15" s="200"/>
      <c r="H15" s="200"/>
      <c r="I15" s="200"/>
      <c r="J15" s="200"/>
      <c r="K15" s="200"/>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row>
    <row r="16" spans="1:52" ht="15.75" customHeight="1" x14ac:dyDescent="0.2">
      <c r="A16" s="260"/>
      <c r="B16" s="200"/>
      <c r="C16" s="200"/>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row>
    <row r="17" spans="1:52" ht="15.75" customHeight="1" x14ac:dyDescent="0.2">
      <c r="A17" s="260"/>
      <c r="B17" s="200"/>
      <c r="C17" s="200"/>
      <c r="D17" s="200"/>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row>
    <row r="18" spans="1:52" ht="15.75" customHeight="1" x14ac:dyDescent="0.2">
      <c r="A18" s="260"/>
      <c r="B18" s="200"/>
      <c r="C18" s="200"/>
      <c r="D18" s="200"/>
      <c r="E18" s="200"/>
      <c r="F18" s="200"/>
      <c r="G18" s="200"/>
      <c r="H18" s="200"/>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row>
    <row r="19" spans="1:52" ht="15.75" customHeight="1" x14ac:dyDescent="0.2">
      <c r="A19" s="260"/>
      <c r="B19" s="200"/>
      <c r="C19" s="200"/>
      <c r="D19" s="200"/>
      <c r="E19" s="200"/>
      <c r="F19" s="200"/>
      <c r="G19" s="200"/>
      <c r="H19" s="200"/>
      <c r="I19" s="200"/>
      <c r="J19" s="20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row>
    <row r="20" spans="1:52" ht="15.75" customHeight="1" x14ac:dyDescent="0.2">
      <c r="A20" s="260"/>
      <c r="B20" s="200"/>
      <c r="C20" s="200"/>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row>
    <row r="21" spans="1:52" ht="15.75" customHeight="1" x14ac:dyDescent="0.2">
      <c r="A21" s="260"/>
      <c r="B21" s="200"/>
      <c r="C21" s="200"/>
      <c r="D21" s="200"/>
      <c r="E21" s="200"/>
      <c r="F21" s="200"/>
      <c r="G21" s="200"/>
      <c r="H21" s="200"/>
      <c r="I21" s="200"/>
      <c r="J21" s="200"/>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row>
    <row r="22" spans="1:52" ht="15.75" customHeight="1" x14ac:dyDescent="0.2">
      <c r="A22" s="260"/>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row>
    <row r="23" spans="1:52" ht="15.75" customHeight="1" x14ac:dyDescent="0.2">
      <c r="A23" s="260"/>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row>
    <row r="24" spans="1:52" ht="15.75" customHeight="1" x14ac:dyDescent="0.2">
      <c r="A24" s="260"/>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row>
    <row r="25" spans="1:52" ht="15.75" customHeight="1" x14ac:dyDescent="0.2">
      <c r="A25" s="260"/>
      <c r="B25" s="200"/>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row>
    <row r="26" spans="1:52" ht="15.75" customHeight="1" x14ac:dyDescent="0.2">
      <c r="A26" s="260"/>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row>
    <row r="27" spans="1:52" ht="15.75" customHeight="1" x14ac:dyDescent="0.2">
      <c r="A27" s="260"/>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row>
    <row r="28" spans="1:52" ht="15.75" customHeight="1" x14ac:dyDescent="0.2">
      <c r="A28" s="260"/>
      <c r="B28" s="200"/>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row>
    <row r="29" spans="1:52" ht="15.75" customHeight="1" x14ac:dyDescent="0.2">
      <c r="A29" s="260"/>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row>
    <row r="30" spans="1:52" ht="15.75" customHeight="1" x14ac:dyDescent="0.2">
      <c r="A30" s="260"/>
      <c r="B30" s="200"/>
      <c r="C30" s="200"/>
      <c r="D30" s="200"/>
      <c r="E30" s="200"/>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row>
    <row r="31" spans="1:52" ht="15.75" customHeight="1" x14ac:dyDescent="0.2">
      <c r="A31" s="260"/>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row>
    <row r="32" spans="1:52" ht="15.75" customHeight="1" x14ac:dyDescent="0.2">
      <c r="A32" s="260"/>
      <c r="B32" s="200"/>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row>
    <row r="33" spans="1:52" ht="15.75" customHeight="1" x14ac:dyDescent="0.2">
      <c r="A33" s="260"/>
      <c r="B33" s="200"/>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row>
    <row r="34" spans="1:52" ht="15.75" customHeight="1" x14ac:dyDescent="0.2">
      <c r="A34" s="26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row>
    <row r="35" spans="1:52" ht="15.75" customHeight="1" x14ac:dyDescent="0.2">
      <c r="A35" s="260"/>
      <c r="B35" s="200"/>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row>
    <row r="36" spans="1:52" ht="15.75" customHeight="1" x14ac:dyDescent="0.2">
      <c r="A36" s="260"/>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row>
    <row r="37" spans="1:52" ht="15.75" customHeight="1" x14ac:dyDescent="0.2">
      <c r="A37" s="260"/>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row>
    <row r="38" spans="1:52" ht="15.75" customHeight="1" x14ac:dyDescent="0.2">
      <c r="A38" s="26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row>
    <row r="39" spans="1:52" ht="15.75" customHeight="1" x14ac:dyDescent="0.2">
      <c r="A39" s="26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row>
    <row r="40" spans="1:52" ht="15.75" customHeight="1" x14ac:dyDescent="0.2">
      <c r="A40" s="26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row>
    <row r="41" spans="1:52" ht="15.75" customHeight="1" x14ac:dyDescent="0.2">
      <c r="A41" s="26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row>
    <row r="42" spans="1:52" ht="15.75" customHeight="1" x14ac:dyDescent="0.2">
      <c r="A42" s="26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row>
    <row r="43" spans="1:52" ht="15.75" customHeight="1" x14ac:dyDescent="0.2">
      <c r="A43" s="26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row>
    <row r="44" spans="1:52" ht="15.75" customHeight="1" x14ac:dyDescent="0.2">
      <c r="A44" s="26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row>
    <row r="45" spans="1:52" ht="15.75" customHeight="1" x14ac:dyDescent="0.2">
      <c r="A45" s="260"/>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row>
    <row r="46" spans="1:52" ht="15.75" customHeight="1" x14ac:dyDescent="0.2">
      <c r="A46" s="26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row>
    <row r="47" spans="1:52" ht="15.75" customHeight="1" x14ac:dyDescent="0.2">
      <c r="A47" s="260"/>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row>
    <row r="48" spans="1:52" ht="15.75" customHeight="1" x14ac:dyDescent="0.2">
      <c r="A48" s="260"/>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row>
    <row r="49" spans="1:52" ht="15.75" customHeight="1" x14ac:dyDescent="0.2">
      <c r="A49" s="260"/>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row>
    <row r="50" spans="1:52" ht="15.75" customHeight="1" x14ac:dyDescent="0.2">
      <c r="A50" s="260"/>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row>
    <row r="51" spans="1:52" ht="15.75" customHeight="1" x14ac:dyDescent="0.2">
      <c r="A51" s="260"/>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row>
    <row r="52" spans="1:52" ht="15.75" customHeight="1" x14ac:dyDescent="0.2">
      <c r="A52" s="260"/>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row>
    <row r="53" spans="1:52" ht="15.75" customHeight="1" x14ac:dyDescent="0.2">
      <c r="A53" s="26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row>
    <row r="54" spans="1:52" ht="15.75" customHeight="1" x14ac:dyDescent="0.2">
      <c r="A54" s="260"/>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row>
    <row r="55" spans="1:52" ht="15.75" customHeight="1" x14ac:dyDescent="0.2">
      <c r="A55" s="26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row>
    <row r="56" spans="1:52" ht="15.75" customHeight="1" x14ac:dyDescent="0.2">
      <c r="A56" s="26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row>
    <row r="57" spans="1:52" ht="15.75" customHeight="1" x14ac:dyDescent="0.2">
      <c r="A57" s="26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row>
    <row r="58" spans="1:52" ht="15.75" customHeight="1" x14ac:dyDescent="0.2">
      <c r="A58" s="26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row>
    <row r="59" spans="1:52" ht="15.75" customHeight="1" x14ac:dyDescent="0.2">
      <c r="A59" s="26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row>
    <row r="60" spans="1:52" ht="15.75" customHeight="1" x14ac:dyDescent="0.2">
      <c r="A60" s="26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row>
    <row r="61" spans="1:52" ht="15.75" customHeight="1" x14ac:dyDescent="0.2">
      <c r="A61" s="26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row>
    <row r="62" spans="1:52" ht="15.75" customHeight="1" x14ac:dyDescent="0.2">
      <c r="A62" s="26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row>
    <row r="63" spans="1:52" ht="15.75" customHeight="1" x14ac:dyDescent="0.2">
      <c r="A63" s="26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row>
    <row r="64" spans="1:52" ht="15.75" customHeight="1" x14ac:dyDescent="0.2">
      <c r="A64" s="26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row>
    <row r="65" spans="1:52" ht="15.75" customHeight="1" x14ac:dyDescent="0.2">
      <c r="A65" s="26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row>
    <row r="66" spans="1:52" ht="15.75" customHeight="1" x14ac:dyDescent="0.2">
      <c r="A66" s="26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row>
    <row r="67" spans="1:52" ht="15.75" customHeight="1" x14ac:dyDescent="0.2">
      <c r="A67" s="260"/>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row>
    <row r="68" spans="1:52" ht="15.75" customHeight="1" x14ac:dyDescent="0.2">
      <c r="A68" s="26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row>
    <row r="69" spans="1:52" ht="15.75" customHeight="1" x14ac:dyDescent="0.2">
      <c r="A69" s="26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row>
    <row r="70" spans="1:52" ht="15.75" customHeight="1" x14ac:dyDescent="0.2">
      <c r="A70" s="26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row>
    <row r="71" spans="1:52" ht="15.75" customHeight="1" x14ac:dyDescent="0.2">
      <c r="A71" s="26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row>
    <row r="72" spans="1:52" ht="15.75" customHeight="1" x14ac:dyDescent="0.2">
      <c r="A72" s="26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row>
    <row r="73" spans="1:52" ht="15.75" customHeight="1" x14ac:dyDescent="0.2">
      <c r="A73" s="26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row>
    <row r="74" spans="1:52" ht="15.75" customHeight="1" x14ac:dyDescent="0.2">
      <c r="A74" s="26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row>
    <row r="75" spans="1:52" ht="15.75" customHeight="1" x14ac:dyDescent="0.2">
      <c r="A75" s="26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row>
    <row r="76" spans="1:52" ht="15.75" customHeight="1" x14ac:dyDescent="0.2">
      <c r="A76" s="26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row>
    <row r="77" spans="1:52" ht="15.75" customHeight="1" x14ac:dyDescent="0.2">
      <c r="A77" s="26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row>
    <row r="78" spans="1:52" ht="15.75" customHeight="1" x14ac:dyDescent="0.2">
      <c r="A78" s="26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row>
    <row r="79" spans="1:52" ht="15.75" customHeight="1" x14ac:dyDescent="0.2">
      <c r="A79" s="26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row>
    <row r="80" spans="1:52" ht="15.75" customHeight="1" x14ac:dyDescent="0.2">
      <c r="A80" s="26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row>
    <row r="81" spans="1:52" ht="15.75" customHeight="1" x14ac:dyDescent="0.2">
      <c r="A81" s="26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row>
    <row r="82" spans="1:52" ht="15.75" customHeight="1" x14ac:dyDescent="0.2">
      <c r="A82" s="26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row>
    <row r="83" spans="1:52" ht="15.75" customHeight="1" x14ac:dyDescent="0.2">
      <c r="A83" s="26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row>
    <row r="84" spans="1:52" ht="15.75" customHeight="1" x14ac:dyDescent="0.2">
      <c r="A84" s="26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row>
    <row r="85" spans="1:52" ht="15.75" customHeight="1" x14ac:dyDescent="0.2">
      <c r="A85" s="26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row>
    <row r="86" spans="1:52" ht="15.75" customHeight="1" x14ac:dyDescent="0.2">
      <c r="A86" s="26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row>
    <row r="87" spans="1:52" ht="15.75" customHeight="1" x14ac:dyDescent="0.2">
      <c r="A87" s="26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row>
    <row r="88" spans="1:52" ht="15.75" customHeight="1" x14ac:dyDescent="0.2">
      <c r="A88" s="26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row>
    <row r="89" spans="1:52" ht="15.75" customHeight="1" x14ac:dyDescent="0.2">
      <c r="A89" s="26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row>
    <row r="90" spans="1:52" ht="15.75" customHeight="1" x14ac:dyDescent="0.2">
      <c r="A90" s="26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row>
    <row r="91" spans="1:52" ht="15.75" customHeight="1" x14ac:dyDescent="0.2">
      <c r="A91" s="26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row>
    <row r="92" spans="1:52" ht="15.75" customHeight="1" x14ac:dyDescent="0.2">
      <c r="A92" s="26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row>
    <row r="93" spans="1:52" ht="15.75" customHeight="1" x14ac:dyDescent="0.2">
      <c r="A93" s="26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row>
    <row r="94" spans="1:52" ht="15.75" customHeight="1" x14ac:dyDescent="0.2">
      <c r="A94" s="26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row>
    <row r="95" spans="1:52" ht="15.75" customHeight="1" x14ac:dyDescent="0.2">
      <c r="A95" s="26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row>
    <row r="96" spans="1:52" ht="15.75" customHeight="1" x14ac:dyDescent="0.2">
      <c r="A96" s="26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row>
    <row r="97" spans="1:52" ht="15.75" customHeight="1" x14ac:dyDescent="0.2">
      <c r="A97" s="26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row>
    <row r="98" spans="1:52" ht="15.75" customHeight="1" x14ac:dyDescent="0.2">
      <c r="A98" s="26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row>
    <row r="99" spans="1:52" ht="15.75" customHeight="1" x14ac:dyDescent="0.2">
      <c r="A99" s="26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row>
    <row r="100" spans="1:52" ht="15.75" customHeight="1" x14ac:dyDescent="0.2">
      <c r="A100" s="26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row>
    <row r="101" spans="1:52" ht="15.75" customHeight="1" x14ac:dyDescent="0.2">
      <c r="A101" s="26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row>
    <row r="102" spans="1:52" ht="15.75" customHeight="1" x14ac:dyDescent="0.2">
      <c r="A102" s="26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row>
    <row r="103" spans="1:52" ht="15.75" customHeight="1" x14ac:dyDescent="0.2">
      <c r="A103" s="26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row>
    <row r="104" spans="1:52" ht="15.75" customHeight="1" x14ac:dyDescent="0.2">
      <c r="A104" s="26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row>
    <row r="105" spans="1:52" ht="15.75" customHeight="1" x14ac:dyDescent="0.2">
      <c r="A105" s="26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row>
    <row r="106" spans="1:52" ht="15.75" customHeight="1" x14ac:dyDescent="0.2">
      <c r="A106" s="26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row>
    <row r="107" spans="1:52" ht="15.75" customHeight="1" x14ac:dyDescent="0.2">
      <c r="A107" s="26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row>
    <row r="108" spans="1:52" ht="15.75" customHeight="1" x14ac:dyDescent="0.2">
      <c r="A108" s="26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row>
    <row r="109" spans="1:52" ht="15.75" customHeight="1" x14ac:dyDescent="0.2">
      <c r="A109" s="26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row>
    <row r="110" spans="1:52" ht="15.75" customHeight="1" x14ac:dyDescent="0.2">
      <c r="A110" s="26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row>
    <row r="111" spans="1:52" ht="15.75" customHeight="1" x14ac:dyDescent="0.2">
      <c r="A111" s="26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row>
    <row r="112" spans="1:52" ht="15.75" customHeight="1" x14ac:dyDescent="0.2">
      <c r="A112" s="26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row>
    <row r="113" spans="1:52" ht="15.75" customHeight="1" x14ac:dyDescent="0.2">
      <c r="A113" s="26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row>
    <row r="114" spans="1:52" ht="15.75" customHeight="1" x14ac:dyDescent="0.2">
      <c r="A114" s="26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row>
    <row r="115" spans="1:52" ht="15.75" customHeight="1" x14ac:dyDescent="0.2">
      <c r="A115" s="26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row>
    <row r="116" spans="1:52" ht="15.75" customHeight="1" x14ac:dyDescent="0.2">
      <c r="A116" s="26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row>
    <row r="117" spans="1:52" ht="15.75" customHeight="1" x14ac:dyDescent="0.2">
      <c r="A117" s="26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row>
    <row r="118" spans="1:52" ht="15.75" customHeight="1" x14ac:dyDescent="0.2">
      <c r="A118" s="26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row>
    <row r="119" spans="1:52" ht="15.75" customHeight="1" x14ac:dyDescent="0.2">
      <c r="A119" s="26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row>
    <row r="120" spans="1:52" ht="15.75" customHeight="1" x14ac:dyDescent="0.2">
      <c r="A120" s="26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row>
    <row r="121" spans="1:52" ht="15.75" customHeight="1" x14ac:dyDescent="0.2">
      <c r="A121" s="26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row>
    <row r="122" spans="1:52" ht="15.75" customHeight="1" x14ac:dyDescent="0.2">
      <c r="A122" s="26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row>
    <row r="123" spans="1:52" ht="15.75" customHeight="1" x14ac:dyDescent="0.2">
      <c r="A123" s="26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row>
    <row r="124" spans="1:52" ht="15.75" customHeight="1" x14ac:dyDescent="0.2">
      <c r="A124" s="26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row>
    <row r="125" spans="1:52" ht="15.75" customHeight="1" x14ac:dyDescent="0.2">
      <c r="A125" s="26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row>
    <row r="126" spans="1:52" ht="15.75" customHeight="1" x14ac:dyDescent="0.2">
      <c r="A126" s="26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row>
    <row r="127" spans="1:52" ht="15.75" customHeight="1" x14ac:dyDescent="0.2">
      <c r="A127" s="26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row>
    <row r="128" spans="1:52" ht="15.75" customHeight="1" x14ac:dyDescent="0.2">
      <c r="A128" s="26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row>
    <row r="129" spans="1:52" ht="15.75" customHeight="1" x14ac:dyDescent="0.2">
      <c r="A129" s="26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row>
    <row r="130" spans="1:52" ht="15.75" customHeight="1" x14ac:dyDescent="0.2">
      <c r="A130" s="26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row>
    <row r="131" spans="1:52" ht="15.75" customHeight="1" x14ac:dyDescent="0.2">
      <c r="A131" s="26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row>
    <row r="132" spans="1:52" ht="15.75" customHeight="1" x14ac:dyDescent="0.2">
      <c r="A132" s="26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row>
    <row r="133" spans="1:52" ht="15.75" customHeight="1" x14ac:dyDescent="0.2">
      <c r="A133" s="26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row>
    <row r="134" spans="1:52" ht="15.75" customHeight="1" x14ac:dyDescent="0.2">
      <c r="A134" s="26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row>
    <row r="135" spans="1:52" ht="15.75" customHeight="1" x14ac:dyDescent="0.2">
      <c r="A135" s="26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row>
    <row r="136" spans="1:52" ht="15.75" customHeight="1" x14ac:dyDescent="0.2">
      <c r="A136" s="26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row>
    <row r="137" spans="1:52" ht="15.75" customHeight="1" x14ac:dyDescent="0.2">
      <c r="A137" s="26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row>
    <row r="138" spans="1:52" ht="15.75" customHeight="1" x14ac:dyDescent="0.2">
      <c r="A138" s="26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row>
    <row r="139" spans="1:52" ht="15.75" customHeight="1" x14ac:dyDescent="0.2">
      <c r="A139" s="26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row>
    <row r="140" spans="1:52" ht="15.75" customHeight="1" x14ac:dyDescent="0.2">
      <c r="A140" s="26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row>
    <row r="141" spans="1:52" ht="15.75" customHeight="1" x14ac:dyDescent="0.2">
      <c r="A141" s="26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row>
    <row r="142" spans="1:52" ht="15.75" customHeight="1" x14ac:dyDescent="0.2">
      <c r="A142" s="26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row>
    <row r="143" spans="1:52" ht="15.75" customHeight="1" x14ac:dyDescent="0.2">
      <c r="A143" s="26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row>
    <row r="144" spans="1:52" ht="15.75" customHeight="1" x14ac:dyDescent="0.2">
      <c r="A144" s="26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row>
    <row r="145" spans="1:52" ht="15.75" customHeight="1" x14ac:dyDescent="0.2">
      <c r="A145" s="26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row>
    <row r="146" spans="1:52" ht="15.75" customHeight="1" x14ac:dyDescent="0.2">
      <c r="A146" s="26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row>
    <row r="147" spans="1:52" ht="15.75" customHeight="1" x14ac:dyDescent="0.2">
      <c r="A147" s="26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row>
    <row r="148" spans="1:52" ht="15.75" customHeight="1" x14ac:dyDescent="0.2">
      <c r="A148" s="26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row>
    <row r="149" spans="1:52" ht="15.75" customHeight="1" x14ac:dyDescent="0.2">
      <c r="A149" s="26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row>
    <row r="150" spans="1:52" ht="15.75" customHeight="1" x14ac:dyDescent="0.2">
      <c r="A150" s="26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row>
    <row r="151" spans="1:52" ht="15.75" customHeight="1" x14ac:dyDescent="0.2">
      <c r="A151" s="26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row>
    <row r="152" spans="1:52" ht="15.75" customHeight="1" x14ac:dyDescent="0.2">
      <c r="A152" s="26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row>
    <row r="153" spans="1:52" ht="15.75" customHeight="1" x14ac:dyDescent="0.2">
      <c r="A153" s="26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row>
    <row r="154" spans="1:52" ht="15.75" customHeight="1" x14ac:dyDescent="0.2">
      <c r="A154" s="26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row>
    <row r="155" spans="1:52" ht="15.75" customHeight="1" x14ac:dyDescent="0.2">
      <c r="A155" s="26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row>
    <row r="156" spans="1:52" ht="15.75" customHeight="1" x14ac:dyDescent="0.2">
      <c r="A156" s="26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row>
    <row r="157" spans="1:52" ht="15.75" customHeight="1" x14ac:dyDescent="0.2">
      <c r="A157" s="26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row>
    <row r="158" spans="1:52" ht="15.75" customHeight="1" x14ac:dyDescent="0.2">
      <c r="A158" s="26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row>
    <row r="159" spans="1:52" ht="15.75" customHeight="1" x14ac:dyDescent="0.2">
      <c r="A159" s="26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row>
    <row r="160" spans="1:52" ht="15.75" customHeight="1" x14ac:dyDescent="0.2">
      <c r="A160" s="26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row>
    <row r="161" spans="1:52" ht="15.75" customHeight="1" x14ac:dyDescent="0.2">
      <c r="A161" s="26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row>
    <row r="162" spans="1:52" ht="15.75" customHeight="1" x14ac:dyDescent="0.2">
      <c r="A162" s="26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row>
    <row r="163" spans="1:52" ht="15.75" customHeight="1" x14ac:dyDescent="0.2">
      <c r="A163" s="26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row>
    <row r="164" spans="1:52" ht="15.75" customHeight="1" x14ac:dyDescent="0.2">
      <c r="A164" s="26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row>
    <row r="165" spans="1:52" ht="15.75" customHeight="1" x14ac:dyDescent="0.2">
      <c r="A165" s="26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row>
    <row r="166" spans="1:52" ht="15.75" customHeight="1" x14ac:dyDescent="0.2">
      <c r="A166" s="26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row>
    <row r="167" spans="1:52" ht="15.75" customHeight="1" x14ac:dyDescent="0.2">
      <c r="A167" s="26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row>
    <row r="168" spans="1:52" ht="15.75" customHeight="1" x14ac:dyDescent="0.2">
      <c r="A168" s="26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row>
    <row r="169" spans="1:52" ht="15.75" customHeight="1" x14ac:dyDescent="0.2">
      <c r="A169" s="26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row>
    <row r="170" spans="1:52" ht="15.75" customHeight="1" x14ac:dyDescent="0.2">
      <c r="A170" s="26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row>
    <row r="171" spans="1:52" ht="15.75" customHeight="1" x14ac:dyDescent="0.2">
      <c r="A171" s="26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row>
    <row r="172" spans="1:52" ht="15.75" customHeight="1" x14ac:dyDescent="0.2">
      <c r="A172" s="26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row>
    <row r="173" spans="1:52" ht="15.75" customHeight="1" x14ac:dyDescent="0.2">
      <c r="A173" s="26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row>
    <row r="174" spans="1:52" ht="15.75" customHeight="1" x14ac:dyDescent="0.2">
      <c r="A174" s="26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row>
    <row r="175" spans="1:52" ht="15.75" customHeight="1" x14ac:dyDescent="0.2">
      <c r="A175" s="26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row>
    <row r="176" spans="1:52" ht="15.75" customHeight="1" x14ac:dyDescent="0.2">
      <c r="A176" s="26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row>
    <row r="177" spans="1:52" ht="15.75" customHeight="1" x14ac:dyDescent="0.2">
      <c r="A177" s="26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row>
    <row r="178" spans="1:52" ht="15.75" customHeight="1" x14ac:dyDescent="0.2">
      <c r="A178" s="26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row>
    <row r="179" spans="1:52" ht="15.75" customHeight="1" x14ac:dyDescent="0.2">
      <c r="A179" s="26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row>
    <row r="180" spans="1:52" ht="15.75" customHeight="1" x14ac:dyDescent="0.2">
      <c r="A180" s="26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row>
    <row r="181" spans="1:52" ht="15.75" customHeight="1" x14ac:dyDescent="0.2">
      <c r="A181" s="26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row>
    <row r="182" spans="1:52" ht="15.75" customHeight="1" x14ac:dyDescent="0.2">
      <c r="A182" s="26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row>
    <row r="183" spans="1:52" ht="15.75" customHeight="1" x14ac:dyDescent="0.2">
      <c r="A183" s="26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row>
    <row r="184" spans="1:52" ht="15.75" customHeight="1" x14ac:dyDescent="0.2">
      <c r="A184" s="26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row>
    <row r="185" spans="1:52" ht="15.75" customHeight="1" x14ac:dyDescent="0.2">
      <c r="A185" s="26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row>
    <row r="186" spans="1:52" ht="15.75" customHeight="1" x14ac:dyDescent="0.2">
      <c r="A186" s="26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row>
    <row r="187" spans="1:52" ht="15.75" customHeight="1" x14ac:dyDescent="0.2">
      <c r="A187" s="26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row>
    <row r="188" spans="1:52" ht="15.75" customHeight="1" x14ac:dyDescent="0.2">
      <c r="A188" s="26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row>
    <row r="189" spans="1:52" ht="15.75" customHeight="1" x14ac:dyDescent="0.2">
      <c r="A189" s="26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row>
    <row r="190" spans="1:52" ht="15.75" customHeight="1" x14ac:dyDescent="0.2">
      <c r="A190" s="26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row>
    <row r="191" spans="1:52" ht="15.75" customHeight="1" x14ac:dyDescent="0.2">
      <c r="A191" s="26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row>
    <row r="192" spans="1:52" ht="15.75" customHeight="1" x14ac:dyDescent="0.2">
      <c r="A192" s="26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row>
    <row r="193" spans="1:52" ht="15.75" customHeight="1" x14ac:dyDescent="0.2">
      <c r="A193" s="26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row>
    <row r="194" spans="1:52" ht="15.75" customHeight="1" x14ac:dyDescent="0.2">
      <c r="A194" s="26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row>
    <row r="195" spans="1:52" ht="15.75" customHeight="1" x14ac:dyDescent="0.2">
      <c r="A195" s="26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row>
    <row r="196" spans="1:52" ht="0" hidden="1" customHeight="1" x14ac:dyDescent="0.2">
      <c r="A196" s="262"/>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row>
    <row r="197" spans="1:52" ht="0" hidden="1" customHeight="1" x14ac:dyDescent="0.2">
      <c r="A197" s="262"/>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row>
    <row r="198" spans="1:52" ht="0" hidden="1" customHeight="1" x14ac:dyDescent="0.2">
      <c r="A198" s="262"/>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row>
    <row r="199" spans="1:52" ht="0" hidden="1" customHeight="1" x14ac:dyDescent="0.2">
      <c r="A199" s="262"/>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row>
    <row r="200" spans="1:52" ht="0" hidden="1" customHeight="1" x14ac:dyDescent="0.2">
      <c r="A200" s="262"/>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row>
  </sheetData>
  <sheetProtection formatCells="0" formatColumns="0" formatRows="0" autoFilter="0"/>
  <pageMargins left="0.75" right="0.75" top="1" bottom="1" header="0.5" footer="0.5"/>
  <pageSetup scale="74" orientation="portrait"/>
  <headerFooter alignWithMargins="0">
    <oddHeader>&amp;CSpring 2018 Exam 5 Make-Up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Z200"/>
  <sheetViews>
    <sheetView zoomScaleNormal="100" zoomScalePageLayoutView="80" workbookViewId="0"/>
  </sheetViews>
  <sheetFormatPr defaultColWidth="0" defaultRowHeight="0" customHeight="1" zeroHeight="1" x14ac:dyDescent="0.2"/>
  <cols>
    <col min="1" max="7" width="10.75" style="201" customWidth="1"/>
    <col min="8" max="8" width="40.875" style="201" customWidth="1"/>
    <col min="9" max="10" width="10.75" style="201" customWidth="1"/>
    <col min="11" max="49" width="8.875" style="201" customWidth="1"/>
    <col min="50" max="16384" width="8.875" style="201" hidden="1"/>
  </cols>
  <sheetData>
    <row r="1" spans="1:52" ht="15.75" customHeight="1" thickBot="1" x14ac:dyDescent="0.25">
      <c r="A1" s="1">
        <v>7</v>
      </c>
      <c r="B1" s="2"/>
      <c r="C1" s="283"/>
      <c r="D1" s="283"/>
      <c r="E1" s="283"/>
      <c r="F1" s="283"/>
      <c r="G1" s="283"/>
      <c r="H1" s="284"/>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row>
    <row r="2" spans="1:52" ht="15.75" customHeight="1" x14ac:dyDescent="0.2">
      <c r="A2" s="38" t="s">
        <v>0</v>
      </c>
      <c r="B2" s="285"/>
      <c r="C2" s="285"/>
      <c r="D2" s="285"/>
      <c r="E2" s="285"/>
      <c r="F2" s="285"/>
      <c r="G2" s="285"/>
      <c r="H2" s="286"/>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row>
    <row r="3" spans="1:52" ht="15.75" customHeight="1" x14ac:dyDescent="0.2">
      <c r="A3" s="42">
        <v>2</v>
      </c>
      <c r="B3" s="39"/>
      <c r="C3" s="285"/>
      <c r="D3" s="285"/>
      <c r="E3" s="285"/>
      <c r="F3" s="285"/>
      <c r="G3" s="285"/>
      <c r="H3" s="286"/>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row>
    <row r="4" spans="1:52" ht="15.75" customHeight="1" x14ac:dyDescent="0.2">
      <c r="A4" s="42"/>
      <c r="B4" s="287" t="s">
        <v>293</v>
      </c>
      <c r="C4" s="287"/>
      <c r="D4" s="287"/>
      <c r="E4" s="287"/>
      <c r="F4" s="287"/>
      <c r="G4" s="287"/>
      <c r="H4" s="288"/>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row>
    <row r="5" spans="1:52" ht="15.75" customHeight="1" x14ac:dyDescent="0.2">
      <c r="A5" s="42"/>
      <c r="B5" s="287" t="s">
        <v>294</v>
      </c>
      <c r="C5" s="287"/>
      <c r="D5" s="287"/>
      <c r="E5" s="287"/>
      <c r="F5" s="287"/>
      <c r="G5" s="287"/>
      <c r="H5" s="288"/>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row>
    <row r="6" spans="1:52" ht="15.75" customHeight="1" x14ac:dyDescent="0.2">
      <c r="A6" s="42"/>
      <c r="B6" s="287"/>
      <c r="C6" s="287"/>
      <c r="D6" s="287"/>
      <c r="E6" s="287"/>
      <c r="F6" s="287"/>
      <c r="G6" s="287"/>
      <c r="H6" s="288"/>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row>
    <row r="7" spans="1:52" ht="15.75" customHeight="1" x14ac:dyDescent="0.2">
      <c r="A7" s="42"/>
      <c r="B7" s="287" t="s">
        <v>295</v>
      </c>
      <c r="C7" s="287"/>
      <c r="D7" s="287"/>
      <c r="E7" s="287"/>
      <c r="F7" s="287"/>
      <c r="G7" s="287"/>
      <c r="H7" s="288"/>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row>
    <row r="8" spans="1:52" ht="15.75" customHeight="1" x14ac:dyDescent="0.2">
      <c r="A8" s="42"/>
      <c r="B8" s="285" t="s">
        <v>296</v>
      </c>
      <c r="C8" s="287"/>
      <c r="D8" s="287"/>
      <c r="E8" s="287"/>
      <c r="F8" s="287"/>
      <c r="G8" s="287"/>
      <c r="H8" s="288"/>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row>
    <row r="9" spans="1:52" ht="15.75" customHeight="1" thickBot="1" x14ac:dyDescent="0.25">
      <c r="A9" s="75"/>
      <c r="B9" s="289"/>
      <c r="C9" s="289"/>
      <c r="D9" s="289"/>
      <c r="E9" s="289"/>
      <c r="F9" s="289"/>
      <c r="G9" s="289"/>
      <c r="H9" s="29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row>
    <row r="10" spans="1:52" ht="15.75" customHeight="1" x14ac:dyDescent="0.2">
      <c r="A10" s="260"/>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row>
    <row r="11" spans="1:52" ht="15.75" customHeight="1" x14ac:dyDescent="0.2">
      <c r="A11" s="260"/>
      <c r="B11" s="291" t="s">
        <v>301</v>
      </c>
      <c r="C11" s="200"/>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row>
    <row r="12" spans="1:52" ht="15.75" customHeight="1" x14ac:dyDescent="0.2">
      <c r="A12" s="260"/>
      <c r="B12" s="291" t="s">
        <v>302</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row>
    <row r="13" spans="1:52" ht="15.75" customHeight="1" x14ac:dyDescent="0.2">
      <c r="A13" s="260"/>
      <c r="B13" s="291" t="s">
        <v>303</v>
      </c>
      <c r="C13" s="200"/>
      <c r="D13" s="200"/>
      <c r="E13" s="200"/>
      <c r="F13" s="200"/>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row>
    <row r="14" spans="1:52" ht="15.75" customHeight="1" x14ac:dyDescent="0.2">
      <c r="A14" s="260"/>
      <c r="B14" s="291" t="s">
        <v>304</v>
      </c>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row>
    <row r="15" spans="1:52" ht="15.75" customHeight="1" x14ac:dyDescent="0.2">
      <c r="A15" s="260"/>
      <c r="B15" s="200"/>
      <c r="C15" s="200"/>
      <c r="D15" s="200"/>
      <c r="E15" s="200"/>
      <c r="F15" s="200"/>
      <c r="G15" s="200"/>
      <c r="H15" s="200"/>
      <c r="I15" s="200"/>
      <c r="J15" s="200"/>
      <c r="K15" s="200"/>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row>
    <row r="16" spans="1:52" ht="15.75" customHeight="1" x14ac:dyDescent="0.2">
      <c r="A16" s="260"/>
      <c r="B16" s="200"/>
      <c r="C16" s="200"/>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row>
    <row r="17" spans="1:52" ht="15.75" customHeight="1" x14ac:dyDescent="0.2">
      <c r="A17" s="260"/>
      <c r="B17" s="200"/>
      <c r="C17" s="200"/>
      <c r="D17" s="200"/>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row>
    <row r="18" spans="1:52" ht="15.75" customHeight="1" x14ac:dyDescent="0.2">
      <c r="A18" s="260"/>
      <c r="B18" s="200"/>
      <c r="C18" s="200"/>
      <c r="D18" s="200"/>
      <c r="E18" s="200"/>
      <c r="F18" s="200"/>
      <c r="G18" s="200"/>
      <c r="H18" s="200"/>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row>
    <row r="19" spans="1:52" ht="15.75" customHeight="1" x14ac:dyDescent="0.2">
      <c r="A19" s="260"/>
      <c r="B19" s="200"/>
      <c r="C19" s="200"/>
      <c r="D19" s="200"/>
      <c r="E19" s="200"/>
      <c r="F19" s="200"/>
      <c r="G19" s="200"/>
      <c r="H19" s="200"/>
      <c r="I19" s="200"/>
      <c r="J19" s="20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row>
    <row r="20" spans="1:52" ht="15.75" customHeight="1" x14ac:dyDescent="0.2">
      <c r="A20" s="260"/>
      <c r="B20" s="200"/>
      <c r="C20" s="200"/>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row>
    <row r="21" spans="1:52" ht="15.75" customHeight="1" x14ac:dyDescent="0.2">
      <c r="A21" s="260"/>
      <c r="B21" s="200"/>
      <c r="C21" s="200"/>
      <c r="D21" s="200"/>
      <c r="E21" s="200"/>
      <c r="F21" s="200"/>
      <c r="G21" s="200"/>
      <c r="H21" s="200"/>
      <c r="I21" s="200"/>
      <c r="J21" s="200"/>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row>
    <row r="22" spans="1:52" ht="15.75" customHeight="1" x14ac:dyDescent="0.2">
      <c r="A22" s="260"/>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row>
    <row r="23" spans="1:52" ht="15.75" customHeight="1" x14ac:dyDescent="0.2">
      <c r="A23" s="260"/>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row>
    <row r="24" spans="1:52" ht="15.75" customHeight="1" x14ac:dyDescent="0.2">
      <c r="A24" s="260"/>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row>
    <row r="25" spans="1:52" ht="15.75" customHeight="1" x14ac:dyDescent="0.2">
      <c r="A25" s="260"/>
      <c r="B25" s="200"/>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row>
    <row r="26" spans="1:52" ht="15.75" customHeight="1" x14ac:dyDescent="0.2">
      <c r="A26" s="260"/>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row>
    <row r="27" spans="1:52" ht="15.75" customHeight="1" x14ac:dyDescent="0.2">
      <c r="A27" s="260"/>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row>
    <row r="28" spans="1:52" ht="15.75" customHeight="1" x14ac:dyDescent="0.2">
      <c r="A28" s="260"/>
      <c r="B28" s="200"/>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row>
    <row r="29" spans="1:52" ht="15.75" customHeight="1" x14ac:dyDescent="0.2">
      <c r="A29" s="260"/>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row>
    <row r="30" spans="1:52" ht="15.75" customHeight="1" x14ac:dyDescent="0.2">
      <c r="A30" s="260"/>
      <c r="B30" s="200"/>
      <c r="C30" s="200"/>
      <c r="D30" s="200"/>
      <c r="E30" s="200"/>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row>
    <row r="31" spans="1:52" ht="15.75" customHeight="1" x14ac:dyDescent="0.2">
      <c r="A31" s="260"/>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row>
    <row r="32" spans="1:52" ht="15.75" customHeight="1" x14ac:dyDescent="0.2">
      <c r="A32" s="260"/>
      <c r="B32" s="200"/>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row>
    <row r="33" spans="1:52" ht="15.75" customHeight="1" x14ac:dyDescent="0.2">
      <c r="A33" s="260"/>
      <c r="B33" s="200"/>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row>
    <row r="34" spans="1:52" ht="15.75" customHeight="1" x14ac:dyDescent="0.2">
      <c r="A34" s="26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row>
    <row r="35" spans="1:52" ht="15.75" customHeight="1" x14ac:dyDescent="0.2">
      <c r="A35" s="260"/>
      <c r="B35" s="200"/>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row>
    <row r="36" spans="1:52" ht="15.75" customHeight="1" x14ac:dyDescent="0.2">
      <c r="A36" s="260"/>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row>
    <row r="37" spans="1:52" ht="15.75" customHeight="1" x14ac:dyDescent="0.2">
      <c r="A37" s="260"/>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row>
    <row r="38" spans="1:52" ht="15.75" customHeight="1" x14ac:dyDescent="0.2">
      <c r="A38" s="26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row>
    <row r="39" spans="1:52" ht="15.75" customHeight="1" x14ac:dyDescent="0.2">
      <c r="A39" s="26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row>
    <row r="40" spans="1:52" ht="15.75" customHeight="1" x14ac:dyDescent="0.2">
      <c r="A40" s="26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row>
    <row r="41" spans="1:52" ht="15.75" customHeight="1" x14ac:dyDescent="0.2">
      <c r="A41" s="26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row>
    <row r="42" spans="1:52" ht="15.75" customHeight="1" x14ac:dyDescent="0.2">
      <c r="A42" s="26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row>
    <row r="43" spans="1:52" ht="15.75" customHeight="1" x14ac:dyDescent="0.2">
      <c r="A43" s="26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row>
    <row r="44" spans="1:52" ht="15.75" customHeight="1" x14ac:dyDescent="0.2">
      <c r="A44" s="26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row>
    <row r="45" spans="1:52" ht="15.75" customHeight="1" x14ac:dyDescent="0.2">
      <c r="A45" s="260"/>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row>
    <row r="46" spans="1:52" ht="15.75" customHeight="1" x14ac:dyDescent="0.2">
      <c r="A46" s="26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row>
    <row r="47" spans="1:52" ht="15.75" customHeight="1" x14ac:dyDescent="0.2">
      <c r="A47" s="260"/>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row>
    <row r="48" spans="1:52" ht="15.75" customHeight="1" x14ac:dyDescent="0.2">
      <c r="A48" s="260"/>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row>
    <row r="49" spans="1:52" ht="15.75" customHeight="1" x14ac:dyDescent="0.2">
      <c r="A49" s="260"/>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row>
    <row r="50" spans="1:52" ht="15.75" customHeight="1" x14ac:dyDescent="0.2">
      <c r="A50" s="260"/>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row>
    <row r="51" spans="1:52" ht="15.75" customHeight="1" x14ac:dyDescent="0.2">
      <c r="A51" s="260"/>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row>
    <row r="52" spans="1:52" ht="15.75" customHeight="1" x14ac:dyDescent="0.2">
      <c r="A52" s="260"/>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row>
    <row r="53" spans="1:52" ht="15.75" customHeight="1" x14ac:dyDescent="0.2">
      <c r="A53" s="26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row>
    <row r="54" spans="1:52" ht="15.75" customHeight="1" x14ac:dyDescent="0.2">
      <c r="A54" s="260"/>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row>
    <row r="55" spans="1:52" ht="15.75" customHeight="1" x14ac:dyDescent="0.2">
      <c r="A55" s="26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row>
    <row r="56" spans="1:52" ht="15.75" customHeight="1" x14ac:dyDescent="0.2">
      <c r="A56" s="26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row>
    <row r="57" spans="1:52" ht="15.75" customHeight="1" x14ac:dyDescent="0.2">
      <c r="A57" s="26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row>
    <row r="58" spans="1:52" ht="15.75" customHeight="1" x14ac:dyDescent="0.2">
      <c r="A58" s="26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row>
    <row r="59" spans="1:52" ht="15.75" customHeight="1" x14ac:dyDescent="0.2">
      <c r="A59" s="26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row>
    <row r="60" spans="1:52" ht="15.75" customHeight="1" x14ac:dyDescent="0.2">
      <c r="A60" s="26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row>
    <row r="61" spans="1:52" ht="15.75" customHeight="1" x14ac:dyDescent="0.2">
      <c r="A61" s="26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row>
    <row r="62" spans="1:52" ht="15.75" customHeight="1" x14ac:dyDescent="0.2">
      <c r="A62" s="26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row>
    <row r="63" spans="1:52" ht="15.75" customHeight="1" x14ac:dyDescent="0.2">
      <c r="A63" s="26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row>
    <row r="64" spans="1:52" ht="15.75" customHeight="1" x14ac:dyDescent="0.2">
      <c r="A64" s="26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row>
    <row r="65" spans="1:52" ht="15.75" customHeight="1" x14ac:dyDescent="0.2">
      <c r="A65" s="26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row>
    <row r="66" spans="1:52" ht="15.75" customHeight="1" x14ac:dyDescent="0.2">
      <c r="A66" s="26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row>
    <row r="67" spans="1:52" ht="15.75" customHeight="1" x14ac:dyDescent="0.2">
      <c r="A67" s="260"/>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row>
    <row r="68" spans="1:52" ht="15.75" customHeight="1" x14ac:dyDescent="0.2">
      <c r="A68" s="26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row>
    <row r="69" spans="1:52" ht="15.75" customHeight="1" x14ac:dyDescent="0.2">
      <c r="A69" s="26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row>
    <row r="70" spans="1:52" ht="15.75" customHeight="1" x14ac:dyDescent="0.2">
      <c r="A70" s="26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row>
    <row r="71" spans="1:52" ht="15.75" customHeight="1" x14ac:dyDescent="0.2">
      <c r="A71" s="26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row>
    <row r="72" spans="1:52" ht="15.75" customHeight="1" x14ac:dyDescent="0.2">
      <c r="A72" s="26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row>
    <row r="73" spans="1:52" ht="15.75" customHeight="1" x14ac:dyDescent="0.2">
      <c r="A73" s="26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row>
    <row r="74" spans="1:52" ht="15.75" customHeight="1" x14ac:dyDescent="0.2">
      <c r="A74" s="26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row>
    <row r="75" spans="1:52" ht="15.75" customHeight="1" x14ac:dyDescent="0.2">
      <c r="A75" s="26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row>
    <row r="76" spans="1:52" ht="15.75" customHeight="1" x14ac:dyDescent="0.2">
      <c r="A76" s="26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row>
    <row r="77" spans="1:52" ht="15.75" customHeight="1" x14ac:dyDescent="0.2">
      <c r="A77" s="26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row>
    <row r="78" spans="1:52" ht="15.75" customHeight="1" x14ac:dyDescent="0.2">
      <c r="A78" s="26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row>
    <row r="79" spans="1:52" ht="15.75" customHeight="1" x14ac:dyDescent="0.2">
      <c r="A79" s="26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row>
    <row r="80" spans="1:52" ht="15.75" customHeight="1" x14ac:dyDescent="0.2">
      <c r="A80" s="26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row>
    <row r="81" spans="1:52" ht="15.75" customHeight="1" x14ac:dyDescent="0.2">
      <c r="A81" s="26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row>
    <row r="82" spans="1:52" ht="15.75" customHeight="1" x14ac:dyDescent="0.2">
      <c r="A82" s="26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row>
    <row r="83" spans="1:52" ht="15.75" customHeight="1" x14ac:dyDescent="0.2">
      <c r="A83" s="26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row>
    <row r="84" spans="1:52" ht="15.75" customHeight="1" x14ac:dyDescent="0.2">
      <c r="A84" s="26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row>
    <row r="85" spans="1:52" ht="15.75" customHeight="1" x14ac:dyDescent="0.2">
      <c r="A85" s="26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row>
    <row r="86" spans="1:52" ht="15.75" customHeight="1" x14ac:dyDescent="0.2">
      <c r="A86" s="26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row>
    <row r="87" spans="1:52" ht="15.75" customHeight="1" x14ac:dyDescent="0.2">
      <c r="A87" s="26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row>
    <row r="88" spans="1:52" ht="15.75" customHeight="1" x14ac:dyDescent="0.2">
      <c r="A88" s="26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row>
    <row r="89" spans="1:52" ht="15.75" customHeight="1" x14ac:dyDescent="0.2">
      <c r="A89" s="26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row>
    <row r="90" spans="1:52" ht="15.75" customHeight="1" x14ac:dyDescent="0.2">
      <c r="A90" s="26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row>
    <row r="91" spans="1:52" ht="15.75" customHeight="1" x14ac:dyDescent="0.2">
      <c r="A91" s="26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row>
    <row r="92" spans="1:52" ht="15.75" customHeight="1" x14ac:dyDescent="0.2">
      <c r="A92" s="26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row>
    <row r="93" spans="1:52" ht="15.75" customHeight="1" x14ac:dyDescent="0.2">
      <c r="A93" s="26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row>
    <row r="94" spans="1:52" ht="15.75" customHeight="1" x14ac:dyDescent="0.2">
      <c r="A94" s="26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row>
    <row r="95" spans="1:52" ht="15.75" customHeight="1" x14ac:dyDescent="0.2">
      <c r="A95" s="26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row>
    <row r="96" spans="1:52" ht="15.75" customHeight="1" x14ac:dyDescent="0.2">
      <c r="A96" s="26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row>
    <row r="97" spans="1:52" ht="15.75" customHeight="1" x14ac:dyDescent="0.2">
      <c r="A97" s="26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row>
    <row r="98" spans="1:52" ht="15.75" customHeight="1" x14ac:dyDescent="0.2">
      <c r="A98" s="26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row>
    <row r="99" spans="1:52" ht="15.75" customHeight="1" x14ac:dyDescent="0.2">
      <c r="A99" s="26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row>
    <row r="100" spans="1:52" ht="15.75" customHeight="1" x14ac:dyDescent="0.2">
      <c r="A100" s="26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row>
    <row r="101" spans="1:52" ht="15.75" customHeight="1" x14ac:dyDescent="0.2">
      <c r="A101" s="26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row>
    <row r="102" spans="1:52" ht="15.75" customHeight="1" x14ac:dyDescent="0.2">
      <c r="A102" s="26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row>
    <row r="103" spans="1:52" ht="15.75" customHeight="1" x14ac:dyDescent="0.2">
      <c r="A103" s="26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row>
    <row r="104" spans="1:52" ht="15.75" customHeight="1" x14ac:dyDescent="0.2">
      <c r="A104" s="26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row>
    <row r="105" spans="1:52" ht="15.75" customHeight="1" x14ac:dyDescent="0.2">
      <c r="A105" s="26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row>
    <row r="106" spans="1:52" ht="15.75" customHeight="1" x14ac:dyDescent="0.2">
      <c r="A106" s="26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row>
    <row r="107" spans="1:52" ht="15.75" customHeight="1" x14ac:dyDescent="0.2">
      <c r="A107" s="26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row>
    <row r="108" spans="1:52" ht="15.75" customHeight="1" x14ac:dyDescent="0.2">
      <c r="A108" s="26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row>
    <row r="109" spans="1:52" ht="15.75" customHeight="1" x14ac:dyDescent="0.2">
      <c r="A109" s="26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row>
    <row r="110" spans="1:52" ht="15.75" customHeight="1" x14ac:dyDescent="0.2">
      <c r="A110" s="26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row>
    <row r="111" spans="1:52" ht="15.75" customHeight="1" x14ac:dyDescent="0.2">
      <c r="A111" s="26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row>
    <row r="112" spans="1:52" ht="15.75" customHeight="1" x14ac:dyDescent="0.2">
      <c r="A112" s="26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row>
    <row r="113" spans="1:52" ht="15.75" customHeight="1" x14ac:dyDescent="0.2">
      <c r="A113" s="26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row>
    <row r="114" spans="1:52" ht="15.75" customHeight="1" x14ac:dyDescent="0.2">
      <c r="A114" s="26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row>
    <row r="115" spans="1:52" ht="15.75" customHeight="1" x14ac:dyDescent="0.2">
      <c r="A115" s="26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row>
    <row r="116" spans="1:52" ht="15.75" customHeight="1" x14ac:dyDescent="0.2">
      <c r="A116" s="26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row>
    <row r="117" spans="1:52" ht="15.75" customHeight="1" x14ac:dyDescent="0.2">
      <c r="A117" s="26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row>
    <row r="118" spans="1:52" ht="15.75" customHeight="1" x14ac:dyDescent="0.2">
      <c r="A118" s="26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row>
    <row r="119" spans="1:52" ht="15.75" customHeight="1" x14ac:dyDescent="0.2">
      <c r="A119" s="26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row>
    <row r="120" spans="1:52" ht="15.75" customHeight="1" x14ac:dyDescent="0.2">
      <c r="A120" s="26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row>
    <row r="121" spans="1:52" ht="15.75" customHeight="1" x14ac:dyDescent="0.2">
      <c r="A121" s="26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row>
    <row r="122" spans="1:52" ht="15.75" customHeight="1" x14ac:dyDescent="0.2">
      <c r="A122" s="26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row>
    <row r="123" spans="1:52" ht="15.75" customHeight="1" x14ac:dyDescent="0.2">
      <c r="A123" s="26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row>
    <row r="124" spans="1:52" ht="15.75" customHeight="1" x14ac:dyDescent="0.2">
      <c r="A124" s="26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row>
    <row r="125" spans="1:52" ht="15.75" customHeight="1" x14ac:dyDescent="0.2">
      <c r="A125" s="26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row>
    <row r="126" spans="1:52" ht="15.75" customHeight="1" x14ac:dyDescent="0.2">
      <c r="A126" s="26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row>
    <row r="127" spans="1:52" ht="15.75" customHeight="1" x14ac:dyDescent="0.2">
      <c r="A127" s="26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row>
    <row r="128" spans="1:52" ht="15.75" customHeight="1" x14ac:dyDescent="0.2">
      <c r="A128" s="26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row>
    <row r="129" spans="1:52" ht="15.75" customHeight="1" x14ac:dyDescent="0.2">
      <c r="A129" s="26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row>
    <row r="130" spans="1:52" ht="15.75" customHeight="1" x14ac:dyDescent="0.2">
      <c r="A130" s="26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row>
    <row r="131" spans="1:52" ht="15.75" customHeight="1" x14ac:dyDescent="0.2">
      <c r="A131" s="26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row>
    <row r="132" spans="1:52" ht="15.75" customHeight="1" x14ac:dyDescent="0.2">
      <c r="A132" s="26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row>
    <row r="133" spans="1:52" ht="15.75" customHeight="1" x14ac:dyDescent="0.2">
      <c r="A133" s="26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row>
    <row r="134" spans="1:52" ht="15.75" customHeight="1" x14ac:dyDescent="0.2">
      <c r="A134" s="26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row>
    <row r="135" spans="1:52" ht="15.75" customHeight="1" x14ac:dyDescent="0.2">
      <c r="A135" s="26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row>
    <row r="136" spans="1:52" ht="15.75" customHeight="1" x14ac:dyDescent="0.2">
      <c r="A136" s="26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row>
    <row r="137" spans="1:52" ht="15.75" customHeight="1" x14ac:dyDescent="0.2">
      <c r="A137" s="26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row>
    <row r="138" spans="1:52" ht="15.75" customHeight="1" x14ac:dyDescent="0.2">
      <c r="A138" s="26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row>
    <row r="139" spans="1:52" ht="15.75" customHeight="1" x14ac:dyDescent="0.2">
      <c r="A139" s="26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row>
    <row r="140" spans="1:52" ht="15.75" customHeight="1" x14ac:dyDescent="0.2">
      <c r="A140" s="26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row>
    <row r="141" spans="1:52" ht="15.75" customHeight="1" x14ac:dyDescent="0.2">
      <c r="A141" s="26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row>
    <row r="142" spans="1:52" ht="15.75" customHeight="1" x14ac:dyDescent="0.2">
      <c r="A142" s="26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row>
    <row r="143" spans="1:52" ht="15.75" customHeight="1" x14ac:dyDescent="0.2">
      <c r="A143" s="26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row>
    <row r="144" spans="1:52" ht="15.75" customHeight="1" x14ac:dyDescent="0.2">
      <c r="A144" s="26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row>
    <row r="145" spans="1:52" ht="15.75" customHeight="1" x14ac:dyDescent="0.2">
      <c r="A145" s="26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row>
    <row r="146" spans="1:52" ht="15.75" customHeight="1" x14ac:dyDescent="0.2">
      <c r="A146" s="26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row>
    <row r="147" spans="1:52" ht="15.75" customHeight="1" x14ac:dyDescent="0.2">
      <c r="A147" s="26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row>
    <row r="148" spans="1:52" ht="15.75" customHeight="1" x14ac:dyDescent="0.2">
      <c r="A148" s="26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row>
    <row r="149" spans="1:52" ht="15.75" customHeight="1" x14ac:dyDescent="0.2">
      <c r="A149" s="26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row>
    <row r="150" spans="1:52" ht="15.75" customHeight="1" x14ac:dyDescent="0.2">
      <c r="A150" s="26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row>
    <row r="151" spans="1:52" ht="15.75" customHeight="1" x14ac:dyDescent="0.2">
      <c r="A151" s="26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row>
    <row r="152" spans="1:52" ht="15.75" customHeight="1" x14ac:dyDescent="0.2">
      <c r="A152" s="26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row>
    <row r="153" spans="1:52" ht="15.75" customHeight="1" x14ac:dyDescent="0.2">
      <c r="A153" s="26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row>
    <row r="154" spans="1:52" ht="15.75" customHeight="1" x14ac:dyDescent="0.2">
      <c r="A154" s="26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row>
    <row r="155" spans="1:52" ht="15.75" customHeight="1" x14ac:dyDescent="0.2">
      <c r="A155" s="26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row>
    <row r="156" spans="1:52" ht="15.75" customHeight="1" x14ac:dyDescent="0.2">
      <c r="A156" s="26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row>
    <row r="157" spans="1:52" ht="15.75" customHeight="1" x14ac:dyDescent="0.2">
      <c r="A157" s="26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row>
    <row r="158" spans="1:52" ht="15.75" customHeight="1" x14ac:dyDescent="0.2">
      <c r="A158" s="26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row>
    <row r="159" spans="1:52" ht="15.75" customHeight="1" x14ac:dyDescent="0.2">
      <c r="A159" s="26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row>
    <row r="160" spans="1:52" ht="15.75" customHeight="1" x14ac:dyDescent="0.2">
      <c r="A160" s="26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row>
    <row r="161" spans="1:52" ht="15.75" customHeight="1" x14ac:dyDescent="0.2">
      <c r="A161" s="26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row>
    <row r="162" spans="1:52" ht="15.75" customHeight="1" x14ac:dyDescent="0.2">
      <c r="A162" s="26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row>
    <row r="163" spans="1:52" ht="15.75" customHeight="1" x14ac:dyDescent="0.2">
      <c r="A163" s="26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row>
    <row r="164" spans="1:52" ht="15.75" customHeight="1" x14ac:dyDescent="0.2">
      <c r="A164" s="26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row>
    <row r="165" spans="1:52" ht="15.75" customHeight="1" x14ac:dyDescent="0.2">
      <c r="A165" s="26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row>
    <row r="166" spans="1:52" ht="15.75" customHeight="1" x14ac:dyDescent="0.2">
      <c r="A166" s="26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row>
    <row r="167" spans="1:52" ht="15.75" customHeight="1" x14ac:dyDescent="0.2">
      <c r="A167" s="26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row>
    <row r="168" spans="1:52" ht="15.75" customHeight="1" x14ac:dyDescent="0.2">
      <c r="A168" s="26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row>
    <row r="169" spans="1:52" ht="15.75" customHeight="1" x14ac:dyDescent="0.2">
      <c r="A169" s="26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row>
    <row r="170" spans="1:52" ht="15.75" customHeight="1" x14ac:dyDescent="0.2">
      <c r="A170" s="26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row>
    <row r="171" spans="1:52" ht="15.75" customHeight="1" x14ac:dyDescent="0.2">
      <c r="A171" s="26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row>
    <row r="172" spans="1:52" ht="15.75" customHeight="1" x14ac:dyDescent="0.2">
      <c r="A172" s="26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row>
    <row r="173" spans="1:52" ht="15.75" customHeight="1" x14ac:dyDescent="0.2">
      <c r="A173" s="26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row>
    <row r="174" spans="1:52" ht="15.75" customHeight="1" x14ac:dyDescent="0.2">
      <c r="A174" s="26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row>
    <row r="175" spans="1:52" ht="15.75" customHeight="1" x14ac:dyDescent="0.2">
      <c r="A175" s="26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row>
    <row r="176" spans="1:52" ht="15.75" customHeight="1" x14ac:dyDescent="0.2">
      <c r="A176" s="26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row>
    <row r="177" spans="1:52" ht="15.75" customHeight="1" x14ac:dyDescent="0.2">
      <c r="A177" s="26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row>
    <row r="178" spans="1:52" ht="15.75" customHeight="1" x14ac:dyDescent="0.2">
      <c r="A178" s="26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row>
    <row r="179" spans="1:52" ht="15.75" customHeight="1" x14ac:dyDescent="0.2">
      <c r="A179" s="26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row>
    <row r="180" spans="1:52" ht="15.75" customHeight="1" x14ac:dyDescent="0.2">
      <c r="A180" s="26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row>
    <row r="181" spans="1:52" ht="15.75" customHeight="1" x14ac:dyDescent="0.2">
      <c r="A181" s="26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row>
    <row r="182" spans="1:52" ht="15.75" customHeight="1" x14ac:dyDescent="0.2">
      <c r="A182" s="26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row>
    <row r="183" spans="1:52" ht="15.75" customHeight="1" x14ac:dyDescent="0.2">
      <c r="A183" s="26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row>
    <row r="184" spans="1:52" ht="15.75" customHeight="1" x14ac:dyDescent="0.2">
      <c r="A184" s="26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row>
    <row r="185" spans="1:52" ht="15.75" customHeight="1" x14ac:dyDescent="0.2">
      <c r="A185" s="26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row>
    <row r="186" spans="1:52" ht="15.75" customHeight="1" x14ac:dyDescent="0.2">
      <c r="A186" s="26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row>
    <row r="187" spans="1:52" ht="15.75" customHeight="1" x14ac:dyDescent="0.2">
      <c r="A187" s="26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row>
    <row r="188" spans="1:52" ht="15.75" customHeight="1" x14ac:dyDescent="0.2">
      <c r="A188" s="26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row>
    <row r="189" spans="1:52" ht="15.75" customHeight="1" x14ac:dyDescent="0.2">
      <c r="A189" s="26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row>
    <row r="190" spans="1:52" ht="15.75" customHeight="1" x14ac:dyDescent="0.2">
      <c r="A190" s="26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row>
    <row r="191" spans="1:52" ht="15.75" customHeight="1" x14ac:dyDescent="0.2">
      <c r="A191" s="26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row>
    <row r="192" spans="1:52" ht="15.75" customHeight="1" x14ac:dyDescent="0.2">
      <c r="A192" s="26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row>
    <row r="193" spans="1:52" ht="15.75" customHeight="1" x14ac:dyDescent="0.2">
      <c r="A193" s="26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row>
    <row r="194" spans="1:52" ht="15.75" customHeight="1" x14ac:dyDescent="0.2">
      <c r="A194" s="26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row>
    <row r="195" spans="1:52" ht="15.75" customHeight="1" x14ac:dyDescent="0.2">
      <c r="A195" s="26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row>
    <row r="196" spans="1:52" ht="0" hidden="1" customHeight="1" x14ac:dyDescent="0.2">
      <c r="A196" s="262"/>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row>
    <row r="197" spans="1:52" ht="0" hidden="1" customHeight="1" x14ac:dyDescent="0.2">
      <c r="A197" s="262"/>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row>
    <row r="198" spans="1:52" ht="0" hidden="1" customHeight="1" x14ac:dyDescent="0.2">
      <c r="A198" s="262"/>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row>
    <row r="199" spans="1:52" ht="0" hidden="1" customHeight="1" x14ac:dyDescent="0.2">
      <c r="A199" s="262"/>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row>
    <row r="200" spans="1:52" ht="0" hidden="1" customHeight="1" x14ac:dyDescent="0.2">
      <c r="A200" s="262"/>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row>
  </sheetData>
  <sheetProtection formatCells="0" formatColumns="0" formatRows="0" autoFilter="0"/>
  <pageMargins left="0.75" right="0.75" top="1" bottom="1" header="0.5" footer="0.5"/>
  <pageSetup scale="74" orientation="portrait"/>
  <headerFooter alignWithMargins="0">
    <oddHeader>&amp;CSpring 2018 Exam 5 Make-Up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Z205"/>
  <sheetViews>
    <sheetView zoomScale="70" zoomScaleNormal="70" workbookViewId="0">
      <selection activeCell="L1" sqref="L1:N1048576"/>
    </sheetView>
  </sheetViews>
  <sheetFormatPr defaultColWidth="0" defaultRowHeight="0" customHeight="1" zeroHeight="1" x14ac:dyDescent="0.2"/>
  <cols>
    <col min="1" max="1" width="10.5" style="201" customWidth="1"/>
    <col min="2" max="2" width="13.75" style="201" customWidth="1"/>
    <col min="3" max="3" width="14.375" style="201" customWidth="1"/>
    <col min="4" max="4" width="16.75" style="201" customWidth="1"/>
    <col min="5" max="5" width="10.625" style="201" customWidth="1"/>
    <col min="6" max="7" width="14" style="201" customWidth="1"/>
    <col min="8" max="9" width="14.25" style="201" customWidth="1"/>
    <col min="10" max="10" width="9.75" style="201" customWidth="1"/>
    <col min="11" max="11" width="13.375" style="201" customWidth="1"/>
    <col min="12" max="14" width="13.125" style="201" customWidth="1"/>
    <col min="15" max="49" width="8.875" style="201" customWidth="1"/>
    <col min="50" max="16384" width="8.875" style="201" hidden="1"/>
  </cols>
  <sheetData>
    <row r="1" spans="1:52" ht="15.75" customHeight="1" thickBot="1" x14ac:dyDescent="0.25">
      <c r="A1" s="1">
        <v>8</v>
      </c>
      <c r="B1" s="2"/>
      <c r="C1" s="283"/>
      <c r="D1" s="283"/>
      <c r="E1" s="283"/>
      <c r="F1" s="283"/>
      <c r="G1" s="283"/>
      <c r="H1" s="283"/>
      <c r="I1" s="283"/>
      <c r="J1" s="283"/>
      <c r="K1" s="283"/>
      <c r="L1" s="283"/>
      <c r="M1" s="283"/>
      <c r="N1" s="283"/>
      <c r="O1" s="284"/>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row>
    <row r="2" spans="1:52" ht="15.75" customHeight="1" x14ac:dyDescent="0.2">
      <c r="A2" s="38" t="s">
        <v>0</v>
      </c>
      <c r="B2" s="285"/>
      <c r="C2" s="285"/>
      <c r="D2" s="285"/>
      <c r="E2" s="285"/>
      <c r="F2" s="285"/>
      <c r="G2" s="285"/>
      <c r="H2" s="285"/>
      <c r="I2" s="285"/>
      <c r="J2" s="285"/>
      <c r="K2" s="285"/>
      <c r="L2" s="285"/>
      <c r="M2" s="285"/>
      <c r="N2" s="285"/>
      <c r="O2" s="286"/>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row>
    <row r="3" spans="1:52" ht="15.75" customHeight="1" x14ac:dyDescent="0.2">
      <c r="A3" s="42">
        <v>2</v>
      </c>
      <c r="B3" s="39"/>
      <c r="C3" s="285"/>
      <c r="D3" s="285"/>
      <c r="E3" s="285"/>
      <c r="F3" s="285"/>
      <c r="G3" s="285"/>
      <c r="H3" s="285"/>
      <c r="I3" s="285"/>
      <c r="J3" s="285"/>
      <c r="K3" s="285"/>
      <c r="L3" s="285"/>
      <c r="M3" s="285"/>
      <c r="N3" s="285"/>
      <c r="O3" s="286"/>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row>
    <row r="4" spans="1:52" ht="15.75" customHeight="1" x14ac:dyDescent="0.2">
      <c r="A4" s="42"/>
      <c r="B4" s="285" t="s">
        <v>305</v>
      </c>
      <c r="C4" s="285"/>
      <c r="D4" s="285"/>
      <c r="E4" s="285"/>
      <c r="F4" s="285"/>
      <c r="G4" s="285"/>
      <c r="H4" s="285"/>
      <c r="I4" s="285"/>
      <c r="J4" s="285"/>
      <c r="K4" s="285"/>
      <c r="L4" s="285"/>
      <c r="M4" s="285"/>
      <c r="N4" s="285"/>
      <c r="O4" s="286"/>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row>
    <row r="5" spans="1:52" ht="15.75" customHeight="1" x14ac:dyDescent="0.2">
      <c r="A5" s="42"/>
      <c r="B5" s="285" t="s">
        <v>306</v>
      </c>
      <c r="C5" s="285"/>
      <c r="D5" s="285"/>
      <c r="E5" s="285"/>
      <c r="F5" s="285"/>
      <c r="G5" s="285"/>
      <c r="H5" s="285"/>
      <c r="I5" s="285"/>
      <c r="J5" s="285"/>
      <c r="K5" s="285"/>
      <c r="L5" s="285"/>
      <c r="M5" s="285"/>
      <c r="N5" s="285"/>
      <c r="O5" s="286"/>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row>
    <row r="6" spans="1:52" ht="15.75" customHeight="1" thickBot="1" x14ac:dyDescent="0.25">
      <c r="A6" s="42"/>
      <c r="B6" s="287"/>
      <c r="C6" s="287"/>
      <c r="D6" s="287"/>
      <c r="E6" s="287"/>
      <c r="F6" s="287"/>
      <c r="G6" s="287"/>
      <c r="H6" s="287"/>
      <c r="I6" s="287"/>
      <c r="J6" s="287"/>
      <c r="K6" s="287"/>
      <c r="L6" s="287"/>
      <c r="M6" s="287"/>
      <c r="N6" s="287"/>
      <c r="O6" s="288"/>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row>
    <row r="7" spans="1:52" ht="15.75" customHeight="1" x14ac:dyDescent="0.2">
      <c r="A7" s="42"/>
      <c r="B7" s="292"/>
      <c r="C7" s="293" t="s">
        <v>307</v>
      </c>
      <c r="D7" s="293"/>
      <c r="E7" s="293" t="s">
        <v>308</v>
      </c>
      <c r="F7" s="293" t="s">
        <v>309</v>
      </c>
      <c r="G7" s="293" t="s">
        <v>309</v>
      </c>
      <c r="H7" s="293"/>
      <c r="I7" s="293"/>
      <c r="J7" s="293"/>
      <c r="K7" s="293"/>
      <c r="L7" s="293"/>
      <c r="M7" s="293"/>
      <c r="N7" s="294"/>
      <c r="O7" s="288"/>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row>
    <row r="8" spans="1:52" ht="15.75" customHeight="1" x14ac:dyDescent="0.2">
      <c r="A8" s="42"/>
      <c r="B8" s="295"/>
      <c r="C8" s="296" t="s">
        <v>310</v>
      </c>
      <c r="D8" s="296" t="s">
        <v>311</v>
      </c>
      <c r="E8" s="296" t="s">
        <v>312</v>
      </c>
      <c r="F8" s="296" t="s">
        <v>313</v>
      </c>
      <c r="G8" s="296" t="s">
        <v>313</v>
      </c>
      <c r="H8" s="296" t="s">
        <v>314</v>
      </c>
      <c r="I8" s="296" t="s">
        <v>315</v>
      </c>
      <c r="J8" s="296" t="s">
        <v>314</v>
      </c>
      <c r="K8" s="296" t="s">
        <v>316</v>
      </c>
      <c r="L8" s="296" t="s">
        <v>317</v>
      </c>
      <c r="M8" s="296" t="s">
        <v>318</v>
      </c>
      <c r="N8" s="297" t="s">
        <v>319</v>
      </c>
      <c r="O8" s="288"/>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row>
    <row r="9" spans="1:52" ht="15.75" customHeight="1" thickBot="1" x14ac:dyDescent="0.25">
      <c r="A9" s="42"/>
      <c r="B9" s="298" t="s">
        <v>320</v>
      </c>
      <c r="C9" s="299" t="s">
        <v>321</v>
      </c>
      <c r="D9" s="299" t="s">
        <v>322</v>
      </c>
      <c r="E9" s="299" t="s">
        <v>323</v>
      </c>
      <c r="F9" s="299" t="s">
        <v>324</v>
      </c>
      <c r="G9" s="299" t="s">
        <v>325</v>
      </c>
      <c r="H9" s="299" t="s">
        <v>188</v>
      </c>
      <c r="I9" s="299" t="s">
        <v>318</v>
      </c>
      <c r="J9" s="299" t="s">
        <v>318</v>
      </c>
      <c r="K9" s="300" t="s">
        <v>326</v>
      </c>
      <c r="L9" s="300" t="s">
        <v>326</v>
      </c>
      <c r="M9" s="300" t="s">
        <v>188</v>
      </c>
      <c r="N9" s="301" t="s">
        <v>327</v>
      </c>
      <c r="O9" s="288"/>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row>
    <row r="10" spans="1:52" ht="15.75" customHeight="1" x14ac:dyDescent="0.2">
      <c r="A10" s="42"/>
      <c r="B10" s="302" t="s">
        <v>6</v>
      </c>
      <c r="C10" s="303">
        <v>1212729</v>
      </c>
      <c r="D10" s="304">
        <v>1.0369999999999999</v>
      </c>
      <c r="E10" s="303">
        <v>1257600</v>
      </c>
      <c r="F10" s="303">
        <v>505300</v>
      </c>
      <c r="G10" s="305">
        <v>0.40200000000000002</v>
      </c>
      <c r="H10" s="305">
        <v>-0.35899999999999999</v>
      </c>
      <c r="I10" s="306">
        <v>1.5</v>
      </c>
      <c r="J10" s="306">
        <v>0.96</v>
      </c>
      <c r="K10" s="306">
        <v>1.93</v>
      </c>
      <c r="L10" s="306">
        <v>1.93</v>
      </c>
      <c r="M10" s="307">
        <v>0.28699999999999998</v>
      </c>
      <c r="N10" s="308">
        <v>-3.5000000000000003E-2</v>
      </c>
      <c r="O10" s="309"/>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row>
    <row r="11" spans="1:52" ht="15.75" customHeight="1" x14ac:dyDescent="0.2">
      <c r="A11" s="42"/>
      <c r="B11" s="310" t="s">
        <v>8</v>
      </c>
      <c r="C11" s="311">
        <v>995661</v>
      </c>
      <c r="D11" s="312">
        <v>1.0369999999999999</v>
      </c>
      <c r="E11" s="311">
        <v>1032500</v>
      </c>
      <c r="F11" s="311">
        <v>1134500</v>
      </c>
      <c r="G11" s="313">
        <v>1.099</v>
      </c>
      <c r="H11" s="313">
        <v>0.752</v>
      </c>
      <c r="I11" s="314">
        <v>1.25</v>
      </c>
      <c r="J11" s="314">
        <v>2.19</v>
      </c>
      <c r="K11" s="314">
        <v>4.4000000000000004</v>
      </c>
      <c r="L11" s="314">
        <v>2</v>
      </c>
      <c r="M11" s="315">
        <v>0.6</v>
      </c>
      <c r="N11" s="309">
        <v>0.19900000000000001</v>
      </c>
      <c r="O11" s="309"/>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row>
    <row r="12" spans="1:52" ht="15.75" customHeight="1" x14ac:dyDescent="0.2">
      <c r="A12" s="42"/>
      <c r="B12" s="310" t="s">
        <v>11</v>
      </c>
      <c r="C12" s="311">
        <v>622179</v>
      </c>
      <c r="D12" s="312">
        <v>1.0369999999999999</v>
      </c>
      <c r="E12" s="311">
        <v>645200</v>
      </c>
      <c r="F12" s="311">
        <v>201400</v>
      </c>
      <c r="G12" s="313">
        <v>0.312</v>
      </c>
      <c r="H12" s="313">
        <v>-0.502</v>
      </c>
      <c r="I12" s="314">
        <v>1</v>
      </c>
      <c r="J12" s="314">
        <v>0.5</v>
      </c>
      <c r="K12" s="314">
        <v>1</v>
      </c>
      <c r="L12" s="314">
        <v>1</v>
      </c>
      <c r="M12" s="315">
        <v>0</v>
      </c>
      <c r="N12" s="309">
        <v>-0.25</v>
      </c>
      <c r="O12" s="309"/>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row>
    <row r="13" spans="1:52" ht="15.75" customHeight="1" thickBot="1" x14ac:dyDescent="0.25">
      <c r="A13" s="42"/>
      <c r="B13" s="316" t="s">
        <v>25</v>
      </c>
      <c r="C13" s="317">
        <v>2830569</v>
      </c>
      <c r="D13" s="318">
        <v>1.0369999999999999</v>
      </c>
      <c r="E13" s="317">
        <v>2935300</v>
      </c>
      <c r="F13" s="317">
        <v>1841200</v>
      </c>
      <c r="G13" s="319">
        <v>0.627</v>
      </c>
      <c r="H13" s="319">
        <v>0</v>
      </c>
      <c r="I13" s="320"/>
      <c r="J13" s="320"/>
      <c r="K13" s="320"/>
      <c r="L13" s="320"/>
      <c r="M13" s="321">
        <v>0.33400000000000002</v>
      </c>
      <c r="N13" s="322">
        <v>0</v>
      </c>
      <c r="O13" s="309"/>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row>
    <row r="14" spans="1:52" ht="15.75" customHeight="1" x14ac:dyDescent="0.2">
      <c r="A14" s="42"/>
      <c r="B14" s="323"/>
      <c r="C14" s="287"/>
      <c r="D14" s="287"/>
      <c r="E14" s="323"/>
      <c r="F14" s="323"/>
      <c r="G14" s="323"/>
      <c r="H14" s="323"/>
      <c r="I14" s="323"/>
      <c r="J14" s="323"/>
      <c r="K14" s="287"/>
      <c r="L14" s="287"/>
      <c r="M14" s="287"/>
      <c r="N14" s="287"/>
      <c r="O14" s="288"/>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row>
    <row r="15" spans="1:52" ht="15.75" customHeight="1" x14ac:dyDescent="0.2">
      <c r="A15" s="42"/>
      <c r="B15" s="285" t="s">
        <v>328</v>
      </c>
      <c r="C15" s="287"/>
      <c r="D15" s="287"/>
      <c r="E15" s="287"/>
      <c r="F15" s="287"/>
      <c r="G15" s="287"/>
      <c r="H15" s="287"/>
      <c r="I15" s="287"/>
      <c r="J15" s="287"/>
      <c r="K15" s="287"/>
      <c r="L15" s="287"/>
      <c r="M15" s="287"/>
      <c r="N15" s="287"/>
      <c r="O15" s="288"/>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row>
    <row r="16" spans="1:52" ht="15.75" customHeight="1" x14ac:dyDescent="0.2">
      <c r="A16" s="42"/>
      <c r="B16" s="285" t="s">
        <v>329</v>
      </c>
      <c r="C16" s="287"/>
      <c r="D16" s="287"/>
      <c r="E16" s="287"/>
      <c r="F16" s="287"/>
      <c r="G16" s="287"/>
      <c r="H16" s="287"/>
      <c r="I16" s="287"/>
      <c r="J16" s="287"/>
      <c r="K16" s="287"/>
      <c r="L16" s="287"/>
      <c r="M16" s="287"/>
      <c r="N16" s="287"/>
      <c r="O16" s="288"/>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row>
    <row r="17" spans="1:52" ht="15.75" customHeight="1" x14ac:dyDescent="0.2">
      <c r="A17" s="42"/>
      <c r="B17" s="285" t="s">
        <v>330</v>
      </c>
      <c r="C17" s="287"/>
      <c r="D17" s="287"/>
      <c r="E17" s="287"/>
      <c r="F17" s="287"/>
      <c r="G17" s="287"/>
      <c r="H17" s="287"/>
      <c r="I17" s="287"/>
      <c r="J17" s="287"/>
      <c r="K17" s="287"/>
      <c r="L17" s="287"/>
      <c r="M17" s="287"/>
      <c r="N17" s="287"/>
      <c r="O17" s="288"/>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row>
    <row r="18" spans="1:52" ht="15.75" customHeight="1" x14ac:dyDescent="0.2">
      <c r="A18" s="324"/>
      <c r="B18" s="285" t="s">
        <v>331</v>
      </c>
      <c r="C18" s="287"/>
      <c r="D18" s="287"/>
      <c r="E18" s="287"/>
      <c r="F18" s="287"/>
      <c r="G18" s="287"/>
      <c r="H18" s="287"/>
      <c r="I18" s="287"/>
      <c r="J18" s="287"/>
      <c r="K18" s="287"/>
      <c r="L18" s="287"/>
      <c r="M18" s="287"/>
      <c r="N18" s="287"/>
      <c r="O18" s="288"/>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row>
    <row r="19" spans="1:52" ht="15.75" customHeight="1" x14ac:dyDescent="0.2">
      <c r="A19" s="42"/>
      <c r="B19" s="285" t="s">
        <v>332</v>
      </c>
      <c r="C19" s="287"/>
      <c r="D19" s="287"/>
      <c r="E19" s="287"/>
      <c r="F19" s="287"/>
      <c r="G19" s="287"/>
      <c r="H19" s="287"/>
      <c r="I19" s="287"/>
      <c r="J19" s="287"/>
      <c r="K19" s="287"/>
      <c r="L19" s="287"/>
      <c r="M19" s="287"/>
      <c r="N19" s="287"/>
      <c r="O19" s="288"/>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row>
    <row r="20" spans="1:52" ht="15.75" customHeight="1" x14ac:dyDescent="0.2">
      <c r="A20" s="42"/>
      <c r="B20" s="285"/>
      <c r="C20" s="287"/>
      <c r="D20" s="287"/>
      <c r="E20" s="287"/>
      <c r="F20" s="287"/>
      <c r="G20" s="287"/>
      <c r="H20" s="287"/>
      <c r="I20" s="287"/>
      <c r="J20" s="287"/>
      <c r="K20" s="287"/>
      <c r="L20" s="287"/>
      <c r="M20" s="287"/>
      <c r="N20" s="287"/>
      <c r="O20" s="288"/>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row>
    <row r="21" spans="1:52" ht="15.75" customHeight="1" x14ac:dyDescent="0.2">
      <c r="A21" s="42"/>
      <c r="B21" s="285" t="s">
        <v>333</v>
      </c>
      <c r="C21" s="285"/>
      <c r="D21" s="285"/>
      <c r="E21" s="285"/>
      <c r="F21" s="285"/>
      <c r="G21" s="285"/>
      <c r="H21" s="285"/>
      <c r="I21" s="285"/>
      <c r="J21" s="285"/>
      <c r="K21" s="285"/>
      <c r="L21" s="285"/>
      <c r="M21" s="285"/>
      <c r="N21" s="285"/>
      <c r="O21" s="286"/>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row>
    <row r="22" spans="1:52" ht="15.75" customHeight="1" thickBot="1" x14ac:dyDescent="0.25">
      <c r="A22" s="75"/>
      <c r="B22" s="325"/>
      <c r="C22" s="289"/>
      <c r="D22" s="289"/>
      <c r="E22" s="289"/>
      <c r="F22" s="289"/>
      <c r="G22" s="289"/>
      <c r="H22" s="289"/>
      <c r="I22" s="289"/>
      <c r="J22" s="289"/>
      <c r="K22" s="289"/>
      <c r="L22" s="289"/>
      <c r="M22" s="289"/>
      <c r="N22" s="289"/>
      <c r="O22" s="29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row>
    <row r="23" spans="1:52" ht="15.75" customHeight="1" x14ac:dyDescent="0.2">
      <c r="A23" s="260"/>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row>
    <row r="24" spans="1:52" ht="15.75" customHeight="1" x14ac:dyDescent="0.2">
      <c r="A24" s="260"/>
      <c r="B24" s="200"/>
      <c r="C24" s="326" t="s">
        <v>334</v>
      </c>
      <c r="D24" s="326"/>
      <c r="E24" s="326"/>
      <c r="F24" s="326"/>
      <c r="G24" s="326"/>
      <c r="H24" s="326"/>
      <c r="I24" s="326"/>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row>
    <row r="25" spans="1:52" ht="15.75" customHeight="1" x14ac:dyDescent="0.2">
      <c r="A25" s="260"/>
      <c r="B25" s="200"/>
      <c r="C25" s="326" t="s">
        <v>335</v>
      </c>
      <c r="D25" s="326"/>
      <c r="E25" s="326"/>
      <c r="F25" s="326"/>
      <c r="G25" s="326"/>
      <c r="H25" s="326"/>
      <c r="I25" s="326"/>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row>
    <row r="26" spans="1:52" ht="15.75" customHeight="1" x14ac:dyDescent="0.2">
      <c r="A26" s="260"/>
      <c r="B26" s="200"/>
      <c r="C26" s="326"/>
      <c r="D26" s="326"/>
      <c r="E26" s="326"/>
      <c r="F26" s="326"/>
      <c r="G26" s="326"/>
      <c r="H26" s="326"/>
      <c r="I26" s="326"/>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row>
    <row r="27" spans="1:52" ht="15.75" customHeight="1" x14ac:dyDescent="0.2">
      <c r="A27" s="260"/>
      <c r="B27" s="200"/>
      <c r="C27" s="326" t="s">
        <v>336</v>
      </c>
      <c r="D27" s="326"/>
      <c r="E27" s="326"/>
      <c r="F27" s="326"/>
      <c r="G27" s="326"/>
      <c r="H27" s="326"/>
      <c r="I27" s="326"/>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row>
    <row r="28" spans="1:52" ht="15.75" customHeight="1" x14ac:dyDescent="0.2">
      <c r="A28" s="260"/>
      <c r="B28" s="200"/>
      <c r="C28" s="326" t="s">
        <v>337</v>
      </c>
      <c r="D28" s="326"/>
      <c r="E28" s="326"/>
      <c r="F28" s="326"/>
      <c r="G28" s="326"/>
      <c r="H28" s="326"/>
      <c r="I28" s="326"/>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row>
    <row r="29" spans="1:52" ht="15.75" customHeight="1" x14ac:dyDescent="0.2">
      <c r="A29" s="260"/>
      <c r="B29" s="200"/>
      <c r="C29" s="326"/>
      <c r="D29" s="326"/>
      <c r="E29" s="326"/>
      <c r="F29" s="326"/>
      <c r="G29" s="326"/>
      <c r="H29" s="326"/>
      <c r="I29" s="326"/>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row>
    <row r="30" spans="1:52" ht="15.75" customHeight="1" x14ac:dyDescent="0.2">
      <c r="A30" s="260"/>
      <c r="B30" s="200"/>
      <c r="C30" s="326" t="s">
        <v>338</v>
      </c>
      <c r="D30" s="326"/>
      <c r="E30" s="326"/>
      <c r="F30" s="326"/>
      <c r="G30" s="326"/>
      <c r="H30" s="326"/>
      <c r="I30" s="326"/>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row>
    <row r="31" spans="1:52" ht="15.75" customHeight="1" x14ac:dyDescent="0.2">
      <c r="A31" s="260"/>
      <c r="B31" s="200"/>
      <c r="C31" s="326" t="s">
        <v>339</v>
      </c>
      <c r="D31" s="326"/>
      <c r="E31" s="326"/>
      <c r="F31" s="326"/>
      <c r="G31" s="326"/>
      <c r="H31" s="326"/>
      <c r="I31" s="326"/>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row>
    <row r="32" spans="1:52" ht="15.75" customHeight="1" x14ac:dyDescent="0.2">
      <c r="A32" s="260"/>
      <c r="B32" s="200"/>
      <c r="C32" s="326" t="s">
        <v>340</v>
      </c>
      <c r="D32" s="326"/>
      <c r="E32" s="326"/>
      <c r="F32" s="326"/>
      <c r="G32" s="326"/>
      <c r="H32" s="326"/>
      <c r="I32" s="326"/>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row>
    <row r="33" spans="1:52" ht="15.75" customHeight="1" x14ac:dyDescent="0.2">
      <c r="A33" s="260"/>
      <c r="B33" s="200"/>
      <c r="C33" s="326"/>
      <c r="D33" s="326"/>
      <c r="E33" s="326"/>
      <c r="F33" s="326"/>
      <c r="G33" s="326"/>
      <c r="H33" s="326"/>
      <c r="I33" s="326"/>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row>
    <row r="34" spans="1:52" ht="15.75" customHeight="1" x14ac:dyDescent="0.2">
      <c r="A34" s="260"/>
      <c r="B34" s="200"/>
      <c r="C34" s="326" t="s">
        <v>341</v>
      </c>
      <c r="D34" s="326"/>
      <c r="E34" s="326"/>
      <c r="F34" s="326"/>
      <c r="G34" s="326"/>
      <c r="H34" s="326"/>
      <c r="I34" s="326"/>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row>
    <row r="35" spans="1:52" ht="15.75" customHeight="1" x14ac:dyDescent="0.2">
      <c r="A35" s="260"/>
      <c r="B35" s="200"/>
      <c r="C35" s="326" t="s">
        <v>342</v>
      </c>
      <c r="D35" s="326"/>
      <c r="E35" s="326"/>
      <c r="F35" s="326"/>
      <c r="G35" s="326"/>
      <c r="H35" s="326"/>
      <c r="I35" s="326"/>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row>
    <row r="36" spans="1:52" ht="15.75" customHeight="1" x14ac:dyDescent="0.2">
      <c r="A36" s="260"/>
      <c r="B36" s="200"/>
      <c r="C36" s="200" t="s">
        <v>343</v>
      </c>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row>
    <row r="37" spans="1:52" ht="15.75" customHeight="1" x14ac:dyDescent="0.2">
      <c r="A37" s="260"/>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row>
    <row r="38" spans="1:52" ht="15.75" customHeight="1" x14ac:dyDescent="0.2">
      <c r="A38" s="26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row>
    <row r="39" spans="1:52" ht="15.75" customHeight="1" x14ac:dyDescent="0.2">
      <c r="A39" s="26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row>
    <row r="40" spans="1:52" ht="15.75" customHeight="1" x14ac:dyDescent="0.2">
      <c r="A40" s="26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row>
    <row r="41" spans="1:52" ht="15.75" customHeight="1" x14ac:dyDescent="0.2">
      <c r="A41" s="26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row>
    <row r="42" spans="1:52" ht="15.75" customHeight="1" x14ac:dyDescent="0.2">
      <c r="A42" s="26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row>
    <row r="43" spans="1:52" ht="15.75" customHeight="1" x14ac:dyDescent="0.2">
      <c r="A43" s="26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row>
    <row r="44" spans="1:52" ht="15.75" customHeight="1" x14ac:dyDescent="0.2">
      <c r="A44" s="26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row>
    <row r="45" spans="1:52" ht="15.75" customHeight="1" x14ac:dyDescent="0.2">
      <c r="A45" s="260"/>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row>
    <row r="46" spans="1:52" ht="15.75" customHeight="1" x14ac:dyDescent="0.2">
      <c r="A46" s="26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row>
    <row r="47" spans="1:52" ht="15.75" customHeight="1" x14ac:dyDescent="0.2">
      <c r="A47" s="260"/>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row>
    <row r="48" spans="1:52" ht="15.75" customHeight="1" x14ac:dyDescent="0.2">
      <c r="A48" s="260"/>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row>
    <row r="49" spans="1:52" ht="15.75" customHeight="1" x14ac:dyDescent="0.2">
      <c r="A49" s="260"/>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row>
    <row r="50" spans="1:52" ht="15.75" customHeight="1" x14ac:dyDescent="0.2">
      <c r="A50" s="260"/>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row>
    <row r="51" spans="1:52" ht="15.75" customHeight="1" x14ac:dyDescent="0.2">
      <c r="A51" s="260"/>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row>
    <row r="52" spans="1:52" ht="15.75" customHeight="1" x14ac:dyDescent="0.2">
      <c r="A52" s="260"/>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row>
    <row r="53" spans="1:52" ht="15.75" customHeight="1" x14ac:dyDescent="0.2">
      <c r="A53" s="26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row>
    <row r="54" spans="1:52" ht="15.75" customHeight="1" x14ac:dyDescent="0.2">
      <c r="A54" s="260"/>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row>
    <row r="55" spans="1:52" ht="15.75" customHeight="1" x14ac:dyDescent="0.2">
      <c r="A55" s="26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row>
    <row r="56" spans="1:52" ht="15.75" customHeight="1" x14ac:dyDescent="0.2">
      <c r="A56" s="26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row>
    <row r="57" spans="1:52" ht="15.75" customHeight="1" x14ac:dyDescent="0.2">
      <c r="A57" s="26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row>
    <row r="58" spans="1:52" ht="15.75" customHeight="1" x14ac:dyDescent="0.2">
      <c r="A58" s="26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row>
    <row r="59" spans="1:52" ht="15.75" customHeight="1" x14ac:dyDescent="0.2">
      <c r="A59" s="26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row>
    <row r="60" spans="1:52" ht="15.75" customHeight="1" x14ac:dyDescent="0.2">
      <c r="A60" s="26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row>
    <row r="61" spans="1:52" ht="15.75" customHeight="1" x14ac:dyDescent="0.2">
      <c r="A61" s="26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row>
    <row r="62" spans="1:52" ht="15.75" customHeight="1" x14ac:dyDescent="0.2">
      <c r="A62" s="26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row>
    <row r="63" spans="1:52" ht="15.75" customHeight="1" x14ac:dyDescent="0.2">
      <c r="A63" s="26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row>
    <row r="64" spans="1:52" ht="15.75" customHeight="1" x14ac:dyDescent="0.2">
      <c r="A64" s="26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row>
    <row r="65" spans="1:52" ht="15.75" customHeight="1" x14ac:dyDescent="0.2">
      <c r="A65" s="26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row>
    <row r="66" spans="1:52" ht="15.75" customHeight="1" x14ac:dyDescent="0.2">
      <c r="A66" s="26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row>
    <row r="67" spans="1:52" ht="15.75" customHeight="1" x14ac:dyDescent="0.2">
      <c r="A67" s="260"/>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row>
    <row r="68" spans="1:52" ht="15.75" customHeight="1" x14ac:dyDescent="0.2">
      <c r="A68" s="26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row>
    <row r="69" spans="1:52" ht="15.75" customHeight="1" x14ac:dyDescent="0.2">
      <c r="A69" s="26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row>
    <row r="70" spans="1:52" ht="15.75" customHeight="1" x14ac:dyDescent="0.2">
      <c r="A70" s="26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row>
    <row r="71" spans="1:52" ht="15.75" customHeight="1" x14ac:dyDescent="0.2">
      <c r="A71" s="26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row>
    <row r="72" spans="1:52" ht="15.75" customHeight="1" x14ac:dyDescent="0.2">
      <c r="A72" s="26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row>
    <row r="73" spans="1:52" ht="15.75" customHeight="1" x14ac:dyDescent="0.2">
      <c r="A73" s="26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row>
    <row r="74" spans="1:52" ht="15.75" customHeight="1" x14ac:dyDescent="0.2">
      <c r="A74" s="26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row>
    <row r="75" spans="1:52" ht="15.75" customHeight="1" x14ac:dyDescent="0.2">
      <c r="A75" s="26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row>
    <row r="76" spans="1:52" ht="15.75" customHeight="1" x14ac:dyDescent="0.2">
      <c r="A76" s="26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row>
    <row r="77" spans="1:52" ht="15.75" customHeight="1" x14ac:dyDescent="0.2">
      <c r="A77" s="26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row>
    <row r="78" spans="1:52" ht="15.75" customHeight="1" x14ac:dyDescent="0.2">
      <c r="A78" s="26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row>
    <row r="79" spans="1:52" ht="15.75" customHeight="1" x14ac:dyDescent="0.2">
      <c r="A79" s="26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row>
    <row r="80" spans="1:52" ht="15.75" customHeight="1" x14ac:dyDescent="0.2">
      <c r="A80" s="26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row>
    <row r="81" spans="1:52" ht="15.75" customHeight="1" x14ac:dyDescent="0.2">
      <c r="A81" s="26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row>
    <row r="82" spans="1:52" ht="15.75" customHeight="1" x14ac:dyDescent="0.2">
      <c r="A82" s="26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row>
    <row r="83" spans="1:52" ht="15.75" customHeight="1" x14ac:dyDescent="0.2">
      <c r="A83" s="26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row>
    <row r="84" spans="1:52" ht="15.75" customHeight="1" x14ac:dyDescent="0.2">
      <c r="A84" s="26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row>
    <row r="85" spans="1:52" ht="15.75" customHeight="1" x14ac:dyDescent="0.2">
      <c r="A85" s="26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row>
    <row r="86" spans="1:52" ht="15.75" customHeight="1" x14ac:dyDescent="0.2">
      <c r="A86" s="26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row>
    <row r="87" spans="1:52" ht="15.75" customHeight="1" x14ac:dyDescent="0.2">
      <c r="A87" s="26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row>
    <row r="88" spans="1:52" ht="15.75" customHeight="1" x14ac:dyDescent="0.2">
      <c r="A88" s="26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row>
    <row r="89" spans="1:52" ht="15.75" customHeight="1" x14ac:dyDescent="0.2">
      <c r="A89" s="26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row>
    <row r="90" spans="1:52" ht="15.75" customHeight="1" x14ac:dyDescent="0.2">
      <c r="A90" s="26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row>
    <row r="91" spans="1:52" ht="15.75" customHeight="1" x14ac:dyDescent="0.2">
      <c r="A91" s="26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row>
    <row r="92" spans="1:52" ht="15.75" customHeight="1" x14ac:dyDescent="0.2">
      <c r="A92" s="26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row>
    <row r="93" spans="1:52" ht="15.75" customHeight="1" x14ac:dyDescent="0.2">
      <c r="A93" s="26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row>
    <row r="94" spans="1:52" ht="15.75" customHeight="1" x14ac:dyDescent="0.2">
      <c r="A94" s="26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row>
    <row r="95" spans="1:52" ht="15.75" customHeight="1" x14ac:dyDescent="0.2">
      <c r="A95" s="26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row>
    <row r="96" spans="1:52" ht="15.75" customHeight="1" x14ac:dyDescent="0.2">
      <c r="A96" s="26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row>
    <row r="97" spans="1:52" ht="15.75" customHeight="1" x14ac:dyDescent="0.2">
      <c r="A97" s="26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row>
    <row r="98" spans="1:52" ht="15.75" customHeight="1" x14ac:dyDescent="0.2">
      <c r="A98" s="26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row>
    <row r="99" spans="1:52" ht="15.75" customHeight="1" x14ac:dyDescent="0.2">
      <c r="A99" s="26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row>
    <row r="100" spans="1:52" ht="15.75" customHeight="1" x14ac:dyDescent="0.2">
      <c r="A100" s="26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row>
    <row r="101" spans="1:52" ht="15.75" customHeight="1" x14ac:dyDescent="0.2">
      <c r="A101" s="26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row>
    <row r="102" spans="1:52" ht="15.75" customHeight="1" x14ac:dyDescent="0.2">
      <c r="A102" s="26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row>
    <row r="103" spans="1:52" ht="15.75" customHeight="1" x14ac:dyDescent="0.2">
      <c r="A103" s="26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row>
    <row r="104" spans="1:52" ht="15.75" customHeight="1" x14ac:dyDescent="0.2">
      <c r="A104" s="26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row>
    <row r="105" spans="1:52" ht="15.75" customHeight="1" x14ac:dyDescent="0.2">
      <c r="A105" s="26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row>
    <row r="106" spans="1:52" ht="15.75" customHeight="1" x14ac:dyDescent="0.2">
      <c r="A106" s="26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row>
    <row r="107" spans="1:52" ht="15.75" customHeight="1" x14ac:dyDescent="0.2">
      <c r="A107" s="26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row>
    <row r="108" spans="1:52" ht="15.75" customHeight="1" x14ac:dyDescent="0.2">
      <c r="A108" s="26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row>
    <row r="109" spans="1:52" ht="15.75" customHeight="1" x14ac:dyDescent="0.2">
      <c r="A109" s="26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row>
    <row r="110" spans="1:52" ht="15.75" customHeight="1" x14ac:dyDescent="0.2">
      <c r="A110" s="26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row>
    <row r="111" spans="1:52" ht="15.75" customHeight="1" x14ac:dyDescent="0.2">
      <c r="A111" s="26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row>
    <row r="112" spans="1:52" ht="15.75" customHeight="1" x14ac:dyDescent="0.2">
      <c r="A112" s="26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row>
    <row r="113" spans="1:52" ht="15.75" customHeight="1" x14ac:dyDescent="0.2">
      <c r="A113" s="26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row>
    <row r="114" spans="1:52" ht="15.75" customHeight="1" x14ac:dyDescent="0.2">
      <c r="A114" s="26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row>
    <row r="115" spans="1:52" ht="15.75" customHeight="1" x14ac:dyDescent="0.2">
      <c r="A115" s="26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row>
    <row r="116" spans="1:52" ht="15.75" customHeight="1" x14ac:dyDescent="0.2">
      <c r="A116" s="26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row>
    <row r="117" spans="1:52" ht="15.75" customHeight="1" x14ac:dyDescent="0.2">
      <c r="A117" s="26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row>
    <row r="118" spans="1:52" ht="15.75" customHeight="1" x14ac:dyDescent="0.2">
      <c r="A118" s="26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row>
    <row r="119" spans="1:52" ht="15.75" customHeight="1" x14ac:dyDescent="0.2">
      <c r="A119" s="26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row>
    <row r="120" spans="1:52" ht="15.75" customHeight="1" x14ac:dyDescent="0.2">
      <c r="A120" s="26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row>
    <row r="121" spans="1:52" ht="15.75" customHeight="1" x14ac:dyDescent="0.2">
      <c r="A121" s="26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row>
    <row r="122" spans="1:52" ht="15.75" customHeight="1" x14ac:dyDescent="0.2">
      <c r="A122" s="26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row>
    <row r="123" spans="1:52" ht="15.75" customHeight="1" x14ac:dyDescent="0.2">
      <c r="A123" s="26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row>
    <row r="124" spans="1:52" ht="15.75" customHeight="1" x14ac:dyDescent="0.2">
      <c r="A124" s="26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row>
    <row r="125" spans="1:52" ht="15.75" customHeight="1" x14ac:dyDescent="0.2">
      <c r="A125" s="26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row>
    <row r="126" spans="1:52" ht="15.75" customHeight="1" x14ac:dyDescent="0.2">
      <c r="A126" s="26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row>
    <row r="127" spans="1:52" ht="15.75" customHeight="1" x14ac:dyDescent="0.2">
      <c r="A127" s="26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row>
    <row r="128" spans="1:52" ht="15.75" customHeight="1" x14ac:dyDescent="0.2">
      <c r="A128" s="26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row>
    <row r="129" spans="1:52" ht="15.75" customHeight="1" x14ac:dyDescent="0.2">
      <c r="A129" s="26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row>
    <row r="130" spans="1:52" ht="15.75" customHeight="1" x14ac:dyDescent="0.2">
      <c r="A130" s="26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row>
    <row r="131" spans="1:52" ht="15.75" customHeight="1" x14ac:dyDescent="0.2">
      <c r="A131" s="26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row>
    <row r="132" spans="1:52" ht="15.75" customHeight="1" x14ac:dyDescent="0.2">
      <c r="A132" s="26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row>
    <row r="133" spans="1:52" ht="15.75" customHeight="1" x14ac:dyDescent="0.2">
      <c r="A133" s="26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row>
    <row r="134" spans="1:52" ht="15.75" customHeight="1" x14ac:dyDescent="0.2">
      <c r="A134" s="26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row>
    <row r="135" spans="1:52" ht="15.75" customHeight="1" x14ac:dyDescent="0.2">
      <c r="A135" s="26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row>
    <row r="136" spans="1:52" ht="15.75" customHeight="1" x14ac:dyDescent="0.2">
      <c r="A136" s="26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row>
    <row r="137" spans="1:52" ht="15.75" customHeight="1" x14ac:dyDescent="0.2">
      <c r="A137" s="26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row>
    <row r="138" spans="1:52" ht="15.75" customHeight="1" x14ac:dyDescent="0.2">
      <c r="A138" s="26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row>
    <row r="139" spans="1:52" ht="15.75" customHeight="1" x14ac:dyDescent="0.2">
      <c r="A139" s="26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row>
    <row r="140" spans="1:52" ht="15.75" customHeight="1" x14ac:dyDescent="0.2">
      <c r="A140" s="26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row>
    <row r="141" spans="1:52" ht="15.75" customHeight="1" x14ac:dyDescent="0.2">
      <c r="A141" s="26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row>
    <row r="142" spans="1:52" ht="15.75" customHeight="1" x14ac:dyDescent="0.2">
      <c r="A142" s="26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row>
    <row r="143" spans="1:52" ht="15.75" customHeight="1" x14ac:dyDescent="0.2">
      <c r="A143" s="26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row>
    <row r="144" spans="1:52" ht="15.75" customHeight="1" x14ac:dyDescent="0.2">
      <c r="A144" s="26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row>
    <row r="145" spans="1:52" ht="15.75" customHeight="1" x14ac:dyDescent="0.2">
      <c r="A145" s="26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row>
    <row r="146" spans="1:52" ht="15.75" customHeight="1" x14ac:dyDescent="0.2">
      <c r="A146" s="26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row>
    <row r="147" spans="1:52" ht="15.75" customHeight="1" x14ac:dyDescent="0.2">
      <c r="A147" s="26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row>
    <row r="148" spans="1:52" ht="15.75" customHeight="1" x14ac:dyDescent="0.2">
      <c r="A148" s="26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row>
    <row r="149" spans="1:52" ht="15.75" customHeight="1" x14ac:dyDescent="0.2">
      <c r="A149" s="26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row>
    <row r="150" spans="1:52" ht="15.75" customHeight="1" x14ac:dyDescent="0.2">
      <c r="A150" s="26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row>
    <row r="151" spans="1:52" ht="15.75" customHeight="1" x14ac:dyDescent="0.2">
      <c r="A151" s="26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row>
    <row r="152" spans="1:52" ht="15.75" customHeight="1" x14ac:dyDescent="0.2">
      <c r="A152" s="26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row>
    <row r="153" spans="1:52" ht="15.75" customHeight="1" x14ac:dyDescent="0.2">
      <c r="A153" s="26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row>
    <row r="154" spans="1:52" ht="15.75" customHeight="1" x14ac:dyDescent="0.2">
      <c r="A154" s="26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row>
    <row r="155" spans="1:52" ht="15.75" customHeight="1" x14ac:dyDescent="0.2">
      <c r="A155" s="26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row>
    <row r="156" spans="1:52" ht="15.75" customHeight="1" x14ac:dyDescent="0.2">
      <c r="A156" s="26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row>
    <row r="157" spans="1:52" ht="15.75" customHeight="1" x14ac:dyDescent="0.2">
      <c r="A157" s="26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row>
    <row r="158" spans="1:52" ht="15.75" customHeight="1" x14ac:dyDescent="0.2">
      <c r="A158" s="26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row>
    <row r="159" spans="1:52" ht="15.75" customHeight="1" x14ac:dyDescent="0.2">
      <c r="A159" s="26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row>
    <row r="160" spans="1:52" ht="15.75" customHeight="1" x14ac:dyDescent="0.2">
      <c r="A160" s="26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row>
    <row r="161" spans="1:52" ht="15.75" customHeight="1" x14ac:dyDescent="0.2">
      <c r="A161" s="26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row>
    <row r="162" spans="1:52" ht="15.75" customHeight="1" x14ac:dyDescent="0.2">
      <c r="A162" s="26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row>
    <row r="163" spans="1:52" ht="15.75" customHeight="1" x14ac:dyDescent="0.2">
      <c r="A163" s="26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row>
    <row r="164" spans="1:52" ht="15.75" customHeight="1" x14ac:dyDescent="0.2">
      <c r="A164" s="26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row>
    <row r="165" spans="1:52" ht="15.75" customHeight="1" x14ac:dyDescent="0.2">
      <c r="A165" s="26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row>
    <row r="166" spans="1:52" ht="15.75" customHeight="1" x14ac:dyDescent="0.2">
      <c r="A166" s="26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row>
    <row r="167" spans="1:52" ht="15.75" customHeight="1" x14ac:dyDescent="0.2">
      <c r="A167" s="26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row>
    <row r="168" spans="1:52" ht="15.75" customHeight="1" x14ac:dyDescent="0.2">
      <c r="A168" s="26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row>
    <row r="169" spans="1:52" ht="15.75" customHeight="1" x14ac:dyDescent="0.2">
      <c r="A169" s="26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row>
    <row r="170" spans="1:52" ht="15.75" customHeight="1" x14ac:dyDescent="0.2">
      <c r="A170" s="26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row>
    <row r="171" spans="1:52" ht="15.75" customHeight="1" x14ac:dyDescent="0.2">
      <c r="A171" s="26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row>
    <row r="172" spans="1:52" ht="15.75" customHeight="1" x14ac:dyDescent="0.2">
      <c r="A172" s="26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row>
    <row r="173" spans="1:52" ht="15.75" customHeight="1" x14ac:dyDescent="0.2">
      <c r="A173" s="26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row>
    <row r="174" spans="1:52" ht="15.75" customHeight="1" x14ac:dyDescent="0.2">
      <c r="A174" s="26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row>
    <row r="175" spans="1:52" ht="15.75" customHeight="1" x14ac:dyDescent="0.2">
      <c r="A175" s="26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row>
    <row r="176" spans="1:52" ht="15.75" customHeight="1" x14ac:dyDescent="0.2">
      <c r="A176" s="26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row>
    <row r="177" spans="1:52" ht="15.75" customHeight="1" x14ac:dyDescent="0.2">
      <c r="A177" s="26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row>
    <row r="178" spans="1:52" ht="15.75" customHeight="1" x14ac:dyDescent="0.2">
      <c r="A178" s="26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row>
    <row r="179" spans="1:52" ht="15.75" customHeight="1" x14ac:dyDescent="0.2">
      <c r="A179" s="26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row>
    <row r="180" spans="1:52" ht="15.75" customHeight="1" x14ac:dyDescent="0.2">
      <c r="A180" s="26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row>
    <row r="181" spans="1:52" ht="15.75" customHeight="1" x14ac:dyDescent="0.2">
      <c r="A181" s="26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row>
    <row r="182" spans="1:52" ht="15.75" customHeight="1" x14ac:dyDescent="0.2">
      <c r="A182" s="26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row>
    <row r="183" spans="1:52" ht="15.75" customHeight="1" x14ac:dyDescent="0.2">
      <c r="A183" s="26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row>
    <row r="184" spans="1:52" ht="15.75" customHeight="1" x14ac:dyDescent="0.2">
      <c r="A184" s="26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row>
    <row r="185" spans="1:52" ht="15.75" customHeight="1" x14ac:dyDescent="0.2">
      <c r="A185" s="26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row>
    <row r="186" spans="1:52" ht="15.75" customHeight="1" x14ac:dyDescent="0.2">
      <c r="A186" s="26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row>
    <row r="187" spans="1:52" ht="15.75" customHeight="1" x14ac:dyDescent="0.2">
      <c r="A187" s="26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row>
    <row r="188" spans="1:52" ht="15.75" customHeight="1" x14ac:dyDescent="0.2">
      <c r="A188" s="26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row>
    <row r="189" spans="1:52" ht="15.75" customHeight="1" x14ac:dyDescent="0.2">
      <c r="A189" s="26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row>
    <row r="190" spans="1:52" ht="15.75" customHeight="1" x14ac:dyDescent="0.2">
      <c r="A190" s="26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row>
    <row r="191" spans="1:52" ht="15.75" customHeight="1" x14ac:dyDescent="0.2">
      <c r="A191" s="26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row>
    <row r="192" spans="1:52" ht="15.75" customHeight="1" x14ac:dyDescent="0.2">
      <c r="A192" s="26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row>
    <row r="193" spans="1:52" ht="15.75" customHeight="1" x14ac:dyDescent="0.2">
      <c r="A193" s="26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row>
    <row r="194" spans="1:52" ht="15.75" customHeight="1" x14ac:dyDescent="0.2">
      <c r="A194" s="26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row>
    <row r="195" spans="1:52" ht="15.75" customHeight="1" x14ac:dyDescent="0.2">
      <c r="A195" s="26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row>
    <row r="196" spans="1:52" ht="15.75" hidden="1" customHeight="1" x14ac:dyDescent="0.2">
      <c r="A196" s="262"/>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row>
    <row r="197" spans="1:52" ht="0" hidden="1" customHeight="1" x14ac:dyDescent="0.2">
      <c r="A197" s="262"/>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row>
    <row r="198" spans="1:52" ht="0" hidden="1" customHeight="1" x14ac:dyDescent="0.2">
      <c r="A198" s="262"/>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row>
    <row r="199" spans="1:52" ht="0" hidden="1" customHeight="1" x14ac:dyDescent="0.2">
      <c r="A199" s="262"/>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row>
    <row r="200" spans="1:52" ht="0" hidden="1" customHeight="1" x14ac:dyDescent="0.2">
      <c r="A200" s="262"/>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row>
    <row r="201" spans="1:52" ht="0" hidden="1" customHeight="1" x14ac:dyDescent="0.2"/>
    <row r="202" spans="1:52" ht="0" hidden="1" customHeight="1" x14ac:dyDescent="0.2"/>
    <row r="203" spans="1:52" ht="0" hidden="1" customHeight="1" x14ac:dyDescent="0.2"/>
    <row r="204" spans="1:52" ht="0" hidden="1" customHeight="1" x14ac:dyDescent="0.2"/>
    <row r="205" spans="1:52" ht="0" hidden="1" customHeight="1" x14ac:dyDescent="0.2"/>
  </sheetData>
  <sheetProtection formatCells="0" formatColumns="0" formatRows="0" autoFilter="0"/>
  <pageMargins left="0.75" right="0.75" top="1" bottom="1" header="0.5" footer="0.5"/>
  <pageSetup scale="49" orientation="portrait" r:id="rId1"/>
  <headerFooter alignWithMargins="0">
    <oddHeader>&amp;CSpring 2018 Exam 5 Make-Up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Z200"/>
  <sheetViews>
    <sheetView zoomScale="70" zoomScaleNormal="70" workbookViewId="0">
      <selection activeCell="L1" sqref="L1:N1048576"/>
    </sheetView>
  </sheetViews>
  <sheetFormatPr defaultColWidth="0" defaultRowHeight="0" customHeight="1" zeroHeight="1" x14ac:dyDescent="0.2"/>
  <cols>
    <col min="1" max="1" width="10.5" style="201" customWidth="1"/>
    <col min="2" max="2" width="13.75" style="201" customWidth="1"/>
    <col min="3" max="3" width="14.375" style="201" customWidth="1"/>
    <col min="4" max="4" width="16.75" style="201" customWidth="1"/>
    <col min="5" max="5" width="10.625" style="201" customWidth="1"/>
    <col min="6" max="7" width="14" style="201" customWidth="1"/>
    <col min="8" max="9" width="14.25" style="201" customWidth="1"/>
    <col min="10" max="10" width="9.75" style="201" customWidth="1"/>
    <col min="11" max="11" width="13.375" style="201" customWidth="1"/>
    <col min="12" max="14" width="13.125" style="201" customWidth="1"/>
    <col min="15" max="49" width="8.875" style="201" customWidth="1"/>
    <col min="50" max="16384" width="8.875" style="201" hidden="1"/>
  </cols>
  <sheetData>
    <row r="1" spans="1:52" ht="15.75" customHeight="1" thickBot="1" x14ac:dyDescent="0.25">
      <c r="A1" s="1">
        <v>8</v>
      </c>
      <c r="B1" s="2"/>
      <c r="C1" s="283"/>
      <c r="D1" s="283"/>
      <c r="E1" s="283"/>
      <c r="F1" s="283"/>
      <c r="G1" s="283"/>
      <c r="H1" s="283"/>
      <c r="I1" s="283"/>
      <c r="J1" s="283"/>
      <c r="K1" s="283"/>
      <c r="L1" s="283"/>
      <c r="M1" s="283"/>
      <c r="N1" s="283"/>
      <c r="O1" s="284"/>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row>
    <row r="2" spans="1:52" ht="15.75" customHeight="1" x14ac:dyDescent="0.2">
      <c r="A2" s="38" t="s">
        <v>0</v>
      </c>
      <c r="B2" s="285"/>
      <c r="C2" s="285"/>
      <c r="D2" s="285"/>
      <c r="E2" s="285"/>
      <c r="F2" s="285"/>
      <c r="G2" s="285"/>
      <c r="H2" s="285"/>
      <c r="I2" s="285"/>
      <c r="J2" s="285"/>
      <c r="K2" s="285"/>
      <c r="L2" s="285"/>
      <c r="M2" s="285"/>
      <c r="N2" s="285"/>
      <c r="O2" s="286"/>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row>
    <row r="3" spans="1:52" ht="15.75" customHeight="1" x14ac:dyDescent="0.2">
      <c r="A3" s="42">
        <v>2</v>
      </c>
      <c r="B3" s="39"/>
      <c r="C3" s="285"/>
      <c r="D3" s="285"/>
      <c r="E3" s="285"/>
      <c r="F3" s="285"/>
      <c r="G3" s="285"/>
      <c r="H3" s="285"/>
      <c r="I3" s="285"/>
      <c r="J3" s="285"/>
      <c r="K3" s="285"/>
      <c r="L3" s="285"/>
      <c r="M3" s="285"/>
      <c r="N3" s="285"/>
      <c r="O3" s="286"/>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row>
    <row r="4" spans="1:52" ht="15.75" customHeight="1" x14ac:dyDescent="0.2">
      <c r="A4" s="42"/>
      <c r="B4" s="285" t="s">
        <v>305</v>
      </c>
      <c r="C4" s="285"/>
      <c r="D4" s="285"/>
      <c r="E4" s="285"/>
      <c r="F4" s="285"/>
      <c r="G4" s="285"/>
      <c r="H4" s="285"/>
      <c r="I4" s="285"/>
      <c r="J4" s="285"/>
      <c r="K4" s="285"/>
      <c r="L4" s="285"/>
      <c r="M4" s="285"/>
      <c r="N4" s="285"/>
      <c r="O4" s="286"/>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row>
    <row r="5" spans="1:52" ht="15.75" customHeight="1" x14ac:dyDescent="0.2">
      <c r="A5" s="42"/>
      <c r="B5" s="285" t="s">
        <v>306</v>
      </c>
      <c r="C5" s="285"/>
      <c r="D5" s="285"/>
      <c r="E5" s="285"/>
      <c r="F5" s="285"/>
      <c r="G5" s="285"/>
      <c r="H5" s="285"/>
      <c r="I5" s="285"/>
      <c r="J5" s="285"/>
      <c r="K5" s="285"/>
      <c r="L5" s="285"/>
      <c r="M5" s="285"/>
      <c r="N5" s="285"/>
      <c r="O5" s="286"/>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row>
    <row r="6" spans="1:52" ht="15.75" customHeight="1" thickBot="1" x14ac:dyDescent="0.25">
      <c r="A6" s="42"/>
      <c r="B6" s="287"/>
      <c r="C6" s="287"/>
      <c r="D6" s="287"/>
      <c r="E6" s="287"/>
      <c r="F6" s="287"/>
      <c r="G6" s="287"/>
      <c r="H6" s="287"/>
      <c r="I6" s="287"/>
      <c r="J6" s="287"/>
      <c r="K6" s="287"/>
      <c r="L6" s="287"/>
      <c r="M6" s="287"/>
      <c r="N6" s="287"/>
      <c r="O6" s="288"/>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row>
    <row r="7" spans="1:52" ht="15.75" customHeight="1" x14ac:dyDescent="0.2">
      <c r="A7" s="42"/>
      <c r="B7" s="292"/>
      <c r="C7" s="293" t="s">
        <v>307</v>
      </c>
      <c r="D7" s="293"/>
      <c r="E7" s="293" t="s">
        <v>308</v>
      </c>
      <c r="F7" s="293" t="s">
        <v>309</v>
      </c>
      <c r="G7" s="293" t="s">
        <v>309</v>
      </c>
      <c r="H7" s="293"/>
      <c r="I7" s="293"/>
      <c r="J7" s="293"/>
      <c r="K7" s="293"/>
      <c r="L7" s="293"/>
      <c r="M7" s="293"/>
      <c r="N7" s="294"/>
      <c r="O7" s="288"/>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row>
    <row r="8" spans="1:52" ht="15.75" customHeight="1" x14ac:dyDescent="0.2">
      <c r="A8" s="42"/>
      <c r="B8" s="295"/>
      <c r="C8" s="296" t="s">
        <v>310</v>
      </c>
      <c r="D8" s="296" t="s">
        <v>311</v>
      </c>
      <c r="E8" s="296" t="s">
        <v>312</v>
      </c>
      <c r="F8" s="296" t="s">
        <v>313</v>
      </c>
      <c r="G8" s="296" t="s">
        <v>313</v>
      </c>
      <c r="H8" s="296" t="s">
        <v>314</v>
      </c>
      <c r="I8" s="296" t="s">
        <v>315</v>
      </c>
      <c r="J8" s="296" t="s">
        <v>314</v>
      </c>
      <c r="K8" s="296" t="s">
        <v>316</v>
      </c>
      <c r="L8" s="296" t="s">
        <v>317</v>
      </c>
      <c r="M8" s="296" t="s">
        <v>318</v>
      </c>
      <c r="N8" s="297" t="s">
        <v>319</v>
      </c>
      <c r="O8" s="288"/>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row>
    <row r="9" spans="1:52" ht="15.75" customHeight="1" thickBot="1" x14ac:dyDescent="0.25">
      <c r="A9" s="42"/>
      <c r="B9" s="298" t="s">
        <v>320</v>
      </c>
      <c r="C9" s="299" t="s">
        <v>321</v>
      </c>
      <c r="D9" s="299" t="s">
        <v>322</v>
      </c>
      <c r="E9" s="299" t="s">
        <v>323</v>
      </c>
      <c r="F9" s="299" t="s">
        <v>324</v>
      </c>
      <c r="G9" s="299" t="s">
        <v>325</v>
      </c>
      <c r="H9" s="299" t="s">
        <v>188</v>
      </c>
      <c r="I9" s="299" t="s">
        <v>318</v>
      </c>
      <c r="J9" s="299" t="s">
        <v>318</v>
      </c>
      <c r="K9" s="300" t="s">
        <v>326</v>
      </c>
      <c r="L9" s="300" t="s">
        <v>326</v>
      </c>
      <c r="M9" s="300" t="s">
        <v>188</v>
      </c>
      <c r="N9" s="301" t="s">
        <v>327</v>
      </c>
      <c r="O9" s="288"/>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row>
    <row r="10" spans="1:52" ht="15.75" customHeight="1" x14ac:dyDescent="0.2">
      <c r="A10" s="42"/>
      <c r="B10" s="302" t="s">
        <v>6</v>
      </c>
      <c r="C10" s="303">
        <v>1212729</v>
      </c>
      <c r="D10" s="304">
        <v>1.0369999999999999</v>
      </c>
      <c r="E10" s="303">
        <v>1257600</v>
      </c>
      <c r="F10" s="303">
        <v>505300</v>
      </c>
      <c r="G10" s="305">
        <v>0.40200000000000002</v>
      </c>
      <c r="H10" s="305">
        <v>-0.35899999999999999</v>
      </c>
      <c r="I10" s="306">
        <v>1.5</v>
      </c>
      <c r="J10" s="306">
        <v>0.96</v>
      </c>
      <c r="K10" s="306">
        <v>1.93</v>
      </c>
      <c r="L10" s="306">
        <v>1.93</v>
      </c>
      <c r="M10" s="307">
        <v>0.28699999999999998</v>
      </c>
      <c r="N10" s="308">
        <v>-3.5000000000000003E-2</v>
      </c>
      <c r="O10" s="309"/>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row>
    <row r="11" spans="1:52" ht="15.75" customHeight="1" x14ac:dyDescent="0.2">
      <c r="A11" s="42"/>
      <c r="B11" s="310" t="s">
        <v>8</v>
      </c>
      <c r="C11" s="311">
        <v>995661</v>
      </c>
      <c r="D11" s="312">
        <v>1.0369999999999999</v>
      </c>
      <c r="E11" s="311">
        <v>1032500</v>
      </c>
      <c r="F11" s="311">
        <v>1134500</v>
      </c>
      <c r="G11" s="313">
        <v>1.099</v>
      </c>
      <c r="H11" s="313">
        <v>0.752</v>
      </c>
      <c r="I11" s="314">
        <v>1.25</v>
      </c>
      <c r="J11" s="314">
        <v>2.19</v>
      </c>
      <c r="K11" s="314">
        <v>4.4000000000000004</v>
      </c>
      <c r="L11" s="314">
        <v>2</v>
      </c>
      <c r="M11" s="315">
        <v>0.6</v>
      </c>
      <c r="N11" s="309">
        <v>0.19900000000000001</v>
      </c>
      <c r="O11" s="309"/>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row>
    <row r="12" spans="1:52" ht="15.75" customHeight="1" x14ac:dyDescent="0.2">
      <c r="A12" s="42"/>
      <c r="B12" s="310" t="s">
        <v>11</v>
      </c>
      <c r="C12" s="311">
        <v>622179</v>
      </c>
      <c r="D12" s="312">
        <v>1.0369999999999999</v>
      </c>
      <c r="E12" s="311">
        <v>645200</v>
      </c>
      <c r="F12" s="311">
        <v>201400</v>
      </c>
      <c r="G12" s="313">
        <v>0.312</v>
      </c>
      <c r="H12" s="313">
        <v>-0.502</v>
      </c>
      <c r="I12" s="314">
        <v>1</v>
      </c>
      <c r="J12" s="314">
        <v>0.5</v>
      </c>
      <c r="K12" s="314">
        <v>1</v>
      </c>
      <c r="L12" s="314">
        <v>1</v>
      </c>
      <c r="M12" s="315">
        <v>0</v>
      </c>
      <c r="N12" s="309">
        <v>-0.25</v>
      </c>
      <c r="O12" s="309"/>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row>
    <row r="13" spans="1:52" ht="15.75" customHeight="1" thickBot="1" x14ac:dyDescent="0.25">
      <c r="A13" s="42"/>
      <c r="B13" s="316" t="s">
        <v>25</v>
      </c>
      <c r="C13" s="317">
        <v>2830569</v>
      </c>
      <c r="D13" s="318">
        <v>1.0369999999999999</v>
      </c>
      <c r="E13" s="317">
        <v>2935300</v>
      </c>
      <c r="F13" s="317">
        <v>1841200</v>
      </c>
      <c r="G13" s="319">
        <v>0.627</v>
      </c>
      <c r="H13" s="319">
        <v>0</v>
      </c>
      <c r="I13" s="320"/>
      <c r="J13" s="320"/>
      <c r="K13" s="320"/>
      <c r="L13" s="320"/>
      <c r="M13" s="321">
        <v>0.33400000000000002</v>
      </c>
      <c r="N13" s="322">
        <v>0</v>
      </c>
      <c r="O13" s="309"/>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row>
    <row r="14" spans="1:52" ht="15.75" customHeight="1" x14ac:dyDescent="0.2">
      <c r="A14" s="42"/>
      <c r="B14" s="323"/>
      <c r="C14" s="287"/>
      <c r="D14" s="287"/>
      <c r="E14" s="323"/>
      <c r="F14" s="323"/>
      <c r="G14" s="323"/>
      <c r="H14" s="323"/>
      <c r="I14" s="323"/>
      <c r="J14" s="323"/>
      <c r="K14" s="287"/>
      <c r="L14" s="287"/>
      <c r="M14" s="287"/>
      <c r="N14" s="287"/>
      <c r="O14" s="288"/>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row>
    <row r="15" spans="1:52" ht="15.75" customHeight="1" x14ac:dyDescent="0.2">
      <c r="A15" s="42"/>
      <c r="B15" s="285" t="s">
        <v>328</v>
      </c>
      <c r="C15" s="287"/>
      <c r="D15" s="287"/>
      <c r="E15" s="287"/>
      <c r="F15" s="287"/>
      <c r="G15" s="287"/>
      <c r="H15" s="287"/>
      <c r="I15" s="287"/>
      <c r="J15" s="287"/>
      <c r="K15" s="287"/>
      <c r="L15" s="287"/>
      <c r="M15" s="287"/>
      <c r="N15" s="287"/>
      <c r="O15" s="288"/>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row>
    <row r="16" spans="1:52" ht="15.75" customHeight="1" x14ac:dyDescent="0.2">
      <c r="A16" s="42"/>
      <c r="B16" s="285" t="s">
        <v>329</v>
      </c>
      <c r="C16" s="287"/>
      <c r="D16" s="287"/>
      <c r="E16" s="287"/>
      <c r="F16" s="287"/>
      <c r="G16" s="287"/>
      <c r="H16" s="287"/>
      <c r="I16" s="287"/>
      <c r="J16" s="287"/>
      <c r="K16" s="287"/>
      <c r="L16" s="287"/>
      <c r="M16" s="287"/>
      <c r="N16" s="287"/>
      <c r="O16" s="288"/>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row>
    <row r="17" spans="1:52" ht="15.75" customHeight="1" x14ac:dyDescent="0.2">
      <c r="A17" s="42"/>
      <c r="B17" s="285" t="s">
        <v>330</v>
      </c>
      <c r="C17" s="287"/>
      <c r="D17" s="287"/>
      <c r="E17" s="287"/>
      <c r="F17" s="287"/>
      <c r="G17" s="287"/>
      <c r="H17" s="287"/>
      <c r="I17" s="287"/>
      <c r="J17" s="287"/>
      <c r="K17" s="287"/>
      <c r="L17" s="287"/>
      <c r="M17" s="287"/>
      <c r="N17" s="287"/>
      <c r="O17" s="288"/>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row>
    <row r="18" spans="1:52" ht="15.75" customHeight="1" x14ac:dyDescent="0.2">
      <c r="A18" s="324"/>
      <c r="B18" s="285" t="s">
        <v>331</v>
      </c>
      <c r="C18" s="287"/>
      <c r="D18" s="287"/>
      <c r="E18" s="287"/>
      <c r="F18" s="287"/>
      <c r="G18" s="287"/>
      <c r="H18" s="287"/>
      <c r="I18" s="287"/>
      <c r="J18" s="287"/>
      <c r="K18" s="287"/>
      <c r="L18" s="287"/>
      <c r="M18" s="287"/>
      <c r="N18" s="287"/>
      <c r="O18" s="288"/>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row>
    <row r="19" spans="1:52" ht="15.75" customHeight="1" x14ac:dyDescent="0.2">
      <c r="A19" s="42"/>
      <c r="B19" s="285" t="s">
        <v>332</v>
      </c>
      <c r="C19" s="287"/>
      <c r="D19" s="287"/>
      <c r="E19" s="287"/>
      <c r="F19" s="287"/>
      <c r="G19" s="287"/>
      <c r="H19" s="287"/>
      <c r="I19" s="287"/>
      <c r="J19" s="287"/>
      <c r="K19" s="287"/>
      <c r="L19" s="287"/>
      <c r="M19" s="287"/>
      <c r="N19" s="287"/>
      <c r="O19" s="288"/>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row>
    <row r="20" spans="1:52" ht="15.75" customHeight="1" x14ac:dyDescent="0.2">
      <c r="A20" s="42"/>
      <c r="B20" s="285"/>
      <c r="C20" s="287"/>
      <c r="D20" s="287"/>
      <c r="E20" s="287"/>
      <c r="F20" s="287"/>
      <c r="G20" s="287"/>
      <c r="H20" s="287"/>
      <c r="I20" s="287"/>
      <c r="J20" s="287"/>
      <c r="K20" s="287"/>
      <c r="L20" s="287"/>
      <c r="M20" s="287"/>
      <c r="N20" s="287"/>
      <c r="O20" s="288"/>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row>
    <row r="21" spans="1:52" ht="15.75" customHeight="1" x14ac:dyDescent="0.2">
      <c r="A21" s="42"/>
      <c r="B21" s="285" t="s">
        <v>333</v>
      </c>
      <c r="C21" s="285"/>
      <c r="D21" s="285"/>
      <c r="E21" s="285"/>
      <c r="F21" s="285"/>
      <c r="G21" s="285"/>
      <c r="H21" s="285"/>
      <c r="I21" s="285"/>
      <c r="J21" s="285"/>
      <c r="K21" s="285"/>
      <c r="L21" s="285"/>
      <c r="M21" s="285"/>
      <c r="N21" s="285"/>
      <c r="O21" s="286"/>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row>
    <row r="22" spans="1:52" ht="15.75" customHeight="1" thickBot="1" x14ac:dyDescent="0.25">
      <c r="A22" s="75"/>
      <c r="B22" s="325"/>
      <c r="C22" s="289"/>
      <c r="D22" s="289"/>
      <c r="E22" s="289"/>
      <c r="F22" s="289"/>
      <c r="G22" s="289"/>
      <c r="H22" s="289"/>
      <c r="I22" s="289"/>
      <c r="J22" s="289"/>
      <c r="K22" s="289"/>
      <c r="L22" s="289"/>
      <c r="M22" s="289"/>
      <c r="N22" s="289"/>
      <c r="O22" s="29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row>
    <row r="23" spans="1:52" ht="15.75" customHeight="1" x14ac:dyDescent="0.2">
      <c r="A23" s="260"/>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row>
    <row r="24" spans="1:52" ht="15.75" customHeight="1" x14ac:dyDescent="0.2">
      <c r="A24" s="260"/>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row>
    <row r="25" spans="1:52" ht="15.75" customHeight="1" x14ac:dyDescent="0.2">
      <c r="A25" s="260"/>
      <c r="B25" s="200"/>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row>
    <row r="26" spans="1:52" ht="15.75" customHeight="1" x14ac:dyDescent="0.2">
      <c r="A26" s="260"/>
      <c r="B26" s="326" t="s">
        <v>344</v>
      </c>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row>
    <row r="27" spans="1:52" ht="15.75" customHeight="1" x14ac:dyDescent="0.2">
      <c r="A27" s="260"/>
      <c r="B27" s="326" t="s">
        <v>345</v>
      </c>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row>
    <row r="28" spans="1:52" ht="15.75" customHeight="1" x14ac:dyDescent="0.2">
      <c r="A28" s="260"/>
      <c r="B28" s="326" t="s">
        <v>346</v>
      </c>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row>
    <row r="29" spans="1:52" ht="15.75" customHeight="1" x14ac:dyDescent="0.2">
      <c r="A29" s="260"/>
      <c r="B29" s="326" t="s">
        <v>347</v>
      </c>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row>
    <row r="30" spans="1:52" ht="15.75" customHeight="1" x14ac:dyDescent="0.2">
      <c r="A30" s="260"/>
      <c r="B30" s="200"/>
      <c r="C30" s="200"/>
      <c r="D30" s="200"/>
      <c r="E30" s="200"/>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row>
    <row r="31" spans="1:52" ht="15.75" customHeight="1" x14ac:dyDescent="0.2">
      <c r="A31" s="260"/>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row>
    <row r="32" spans="1:52" ht="15.75" customHeight="1" x14ac:dyDescent="0.2">
      <c r="A32" s="260"/>
      <c r="B32" s="200"/>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row>
    <row r="33" spans="1:52" ht="15.75" customHeight="1" x14ac:dyDescent="0.2">
      <c r="A33" s="260"/>
      <c r="B33" s="200"/>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row>
    <row r="34" spans="1:52" ht="15.75" customHeight="1" x14ac:dyDescent="0.2">
      <c r="A34" s="26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row>
    <row r="35" spans="1:52" ht="15.75" customHeight="1" x14ac:dyDescent="0.2">
      <c r="A35" s="260"/>
      <c r="B35" s="200"/>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row>
    <row r="36" spans="1:52" ht="15.75" customHeight="1" x14ac:dyDescent="0.2">
      <c r="A36" s="260"/>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row>
    <row r="37" spans="1:52" ht="15.75" customHeight="1" x14ac:dyDescent="0.2">
      <c r="A37" s="260"/>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row>
    <row r="38" spans="1:52" ht="15.75" customHeight="1" x14ac:dyDescent="0.2">
      <c r="A38" s="26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row>
    <row r="39" spans="1:52" ht="15.75" customHeight="1" x14ac:dyDescent="0.2">
      <c r="A39" s="26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row>
    <row r="40" spans="1:52" ht="15.75" customHeight="1" x14ac:dyDescent="0.2">
      <c r="A40" s="26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row>
    <row r="41" spans="1:52" ht="15.75" customHeight="1" x14ac:dyDescent="0.2">
      <c r="A41" s="26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row>
    <row r="42" spans="1:52" ht="15.75" customHeight="1" x14ac:dyDescent="0.2">
      <c r="A42" s="26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row>
    <row r="43" spans="1:52" ht="15.75" customHeight="1" x14ac:dyDescent="0.2">
      <c r="A43" s="26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row>
    <row r="44" spans="1:52" ht="15.75" customHeight="1" x14ac:dyDescent="0.2">
      <c r="A44" s="26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row>
    <row r="45" spans="1:52" ht="15.75" customHeight="1" x14ac:dyDescent="0.2">
      <c r="A45" s="260"/>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row>
    <row r="46" spans="1:52" ht="15.75" customHeight="1" x14ac:dyDescent="0.2">
      <c r="A46" s="26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row>
    <row r="47" spans="1:52" ht="15.75" customHeight="1" x14ac:dyDescent="0.2">
      <c r="A47" s="260"/>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row>
    <row r="48" spans="1:52" ht="15.75" customHeight="1" x14ac:dyDescent="0.2">
      <c r="A48" s="260"/>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row>
    <row r="49" spans="1:52" ht="15.75" customHeight="1" x14ac:dyDescent="0.2">
      <c r="A49" s="260"/>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row>
    <row r="50" spans="1:52" ht="15.75" customHeight="1" x14ac:dyDescent="0.2">
      <c r="A50" s="260"/>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row>
    <row r="51" spans="1:52" ht="15.75" customHeight="1" x14ac:dyDescent="0.2">
      <c r="A51" s="260"/>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row>
    <row r="52" spans="1:52" ht="15.75" customHeight="1" x14ac:dyDescent="0.2">
      <c r="A52" s="260"/>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row>
    <row r="53" spans="1:52" ht="15.75" customHeight="1" x14ac:dyDescent="0.2">
      <c r="A53" s="26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row>
    <row r="54" spans="1:52" ht="15.75" customHeight="1" x14ac:dyDescent="0.2">
      <c r="A54" s="260"/>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row>
    <row r="55" spans="1:52" ht="15.75" customHeight="1" x14ac:dyDescent="0.2">
      <c r="A55" s="26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row>
    <row r="56" spans="1:52" ht="15.75" customHeight="1" x14ac:dyDescent="0.2">
      <c r="A56" s="26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row>
    <row r="57" spans="1:52" ht="15.75" customHeight="1" x14ac:dyDescent="0.2">
      <c r="A57" s="26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row>
    <row r="58" spans="1:52" ht="15.75" customHeight="1" x14ac:dyDescent="0.2">
      <c r="A58" s="26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row>
    <row r="59" spans="1:52" ht="15.75" customHeight="1" x14ac:dyDescent="0.2">
      <c r="A59" s="26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row>
    <row r="60" spans="1:52" ht="15.75" customHeight="1" x14ac:dyDescent="0.2">
      <c r="A60" s="26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row>
    <row r="61" spans="1:52" ht="15.75" customHeight="1" x14ac:dyDescent="0.2">
      <c r="A61" s="26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row>
    <row r="62" spans="1:52" ht="15.75" customHeight="1" x14ac:dyDescent="0.2">
      <c r="A62" s="26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row>
    <row r="63" spans="1:52" ht="15.75" customHeight="1" x14ac:dyDescent="0.2">
      <c r="A63" s="26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row>
    <row r="64" spans="1:52" ht="15.75" customHeight="1" x14ac:dyDescent="0.2">
      <c r="A64" s="26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row>
    <row r="65" spans="1:52" ht="15.75" customHeight="1" x14ac:dyDescent="0.2">
      <c r="A65" s="26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row>
    <row r="66" spans="1:52" ht="15.75" customHeight="1" x14ac:dyDescent="0.2">
      <c r="A66" s="26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row>
    <row r="67" spans="1:52" ht="15.75" customHeight="1" x14ac:dyDescent="0.2">
      <c r="A67" s="260"/>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row>
    <row r="68" spans="1:52" ht="15.75" customHeight="1" x14ac:dyDescent="0.2">
      <c r="A68" s="26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row>
    <row r="69" spans="1:52" ht="15.75" customHeight="1" x14ac:dyDescent="0.2">
      <c r="A69" s="26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row>
    <row r="70" spans="1:52" ht="15.75" customHeight="1" x14ac:dyDescent="0.2">
      <c r="A70" s="26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row>
    <row r="71" spans="1:52" ht="15.75" customHeight="1" x14ac:dyDescent="0.2">
      <c r="A71" s="26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row>
    <row r="72" spans="1:52" ht="15.75" customHeight="1" x14ac:dyDescent="0.2">
      <c r="A72" s="26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row>
    <row r="73" spans="1:52" ht="15.75" customHeight="1" x14ac:dyDescent="0.2">
      <c r="A73" s="26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row>
    <row r="74" spans="1:52" ht="15.75" customHeight="1" x14ac:dyDescent="0.2">
      <c r="A74" s="26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row>
    <row r="75" spans="1:52" ht="15.75" customHeight="1" x14ac:dyDescent="0.2">
      <c r="A75" s="26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row>
    <row r="76" spans="1:52" ht="15.75" customHeight="1" x14ac:dyDescent="0.2">
      <c r="A76" s="26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row>
    <row r="77" spans="1:52" ht="15.75" customHeight="1" x14ac:dyDescent="0.2">
      <c r="A77" s="26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row>
    <row r="78" spans="1:52" ht="15.75" customHeight="1" x14ac:dyDescent="0.2">
      <c r="A78" s="26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row>
    <row r="79" spans="1:52" ht="15.75" customHeight="1" x14ac:dyDescent="0.2">
      <c r="A79" s="26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row>
    <row r="80" spans="1:52" ht="15.75" customHeight="1" x14ac:dyDescent="0.2">
      <c r="A80" s="26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row>
    <row r="81" spans="1:52" ht="15.75" customHeight="1" x14ac:dyDescent="0.2">
      <c r="A81" s="26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row>
    <row r="82" spans="1:52" ht="15.75" customHeight="1" x14ac:dyDescent="0.2">
      <c r="A82" s="26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row>
    <row r="83" spans="1:52" ht="15.75" customHeight="1" x14ac:dyDescent="0.2">
      <c r="A83" s="26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row>
    <row r="84" spans="1:52" ht="15.75" customHeight="1" x14ac:dyDescent="0.2">
      <c r="A84" s="26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row>
    <row r="85" spans="1:52" ht="15.75" customHeight="1" x14ac:dyDescent="0.2">
      <c r="A85" s="26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row>
    <row r="86" spans="1:52" ht="15.75" customHeight="1" x14ac:dyDescent="0.2">
      <c r="A86" s="26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row>
    <row r="87" spans="1:52" ht="15.75" customHeight="1" x14ac:dyDescent="0.2">
      <c r="A87" s="26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row>
    <row r="88" spans="1:52" ht="15.75" customHeight="1" x14ac:dyDescent="0.2">
      <c r="A88" s="26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row>
    <row r="89" spans="1:52" ht="15.75" customHeight="1" x14ac:dyDescent="0.2">
      <c r="A89" s="26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row>
    <row r="90" spans="1:52" ht="15.75" customHeight="1" x14ac:dyDescent="0.2">
      <c r="A90" s="26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row>
    <row r="91" spans="1:52" ht="15.75" customHeight="1" x14ac:dyDescent="0.2">
      <c r="A91" s="26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row>
    <row r="92" spans="1:52" ht="15.75" customHeight="1" x14ac:dyDescent="0.2">
      <c r="A92" s="26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row>
    <row r="93" spans="1:52" ht="15.75" customHeight="1" x14ac:dyDescent="0.2">
      <c r="A93" s="26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row>
    <row r="94" spans="1:52" ht="15.75" customHeight="1" x14ac:dyDescent="0.2">
      <c r="A94" s="26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row>
    <row r="95" spans="1:52" ht="15.75" customHeight="1" x14ac:dyDescent="0.2">
      <c r="A95" s="26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row>
    <row r="96" spans="1:52" ht="15.75" customHeight="1" x14ac:dyDescent="0.2">
      <c r="A96" s="26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row>
    <row r="97" spans="1:52" ht="15.75" customHeight="1" x14ac:dyDescent="0.2">
      <c r="A97" s="26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row>
    <row r="98" spans="1:52" ht="15.75" customHeight="1" x14ac:dyDescent="0.2">
      <c r="A98" s="26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row>
    <row r="99" spans="1:52" ht="15.75" customHeight="1" x14ac:dyDescent="0.2">
      <c r="A99" s="26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row>
    <row r="100" spans="1:52" ht="15.75" customHeight="1" x14ac:dyDescent="0.2">
      <c r="A100" s="26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row>
    <row r="101" spans="1:52" ht="15.75" customHeight="1" x14ac:dyDescent="0.2">
      <c r="A101" s="26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row>
    <row r="102" spans="1:52" ht="15.75" customHeight="1" x14ac:dyDescent="0.2">
      <c r="A102" s="26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row>
    <row r="103" spans="1:52" ht="15.75" customHeight="1" x14ac:dyDescent="0.2">
      <c r="A103" s="26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row>
    <row r="104" spans="1:52" ht="15.75" customHeight="1" x14ac:dyDescent="0.2">
      <c r="A104" s="26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row>
    <row r="105" spans="1:52" ht="15.75" customHeight="1" x14ac:dyDescent="0.2">
      <c r="A105" s="26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row>
    <row r="106" spans="1:52" ht="15.75" customHeight="1" x14ac:dyDescent="0.2">
      <c r="A106" s="26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row>
    <row r="107" spans="1:52" ht="15.75" customHeight="1" x14ac:dyDescent="0.2">
      <c r="A107" s="26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row>
    <row r="108" spans="1:52" ht="15.75" customHeight="1" x14ac:dyDescent="0.2">
      <c r="A108" s="26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row>
    <row r="109" spans="1:52" ht="15.75" customHeight="1" x14ac:dyDescent="0.2">
      <c r="A109" s="26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row>
    <row r="110" spans="1:52" ht="15.75" customHeight="1" x14ac:dyDescent="0.2">
      <c r="A110" s="26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row>
    <row r="111" spans="1:52" ht="15.75" customHeight="1" x14ac:dyDescent="0.2">
      <c r="A111" s="26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row>
    <row r="112" spans="1:52" ht="15.75" customHeight="1" x14ac:dyDescent="0.2">
      <c r="A112" s="26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row>
    <row r="113" spans="1:52" ht="15.75" customHeight="1" x14ac:dyDescent="0.2">
      <c r="A113" s="26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row>
    <row r="114" spans="1:52" ht="15.75" customHeight="1" x14ac:dyDescent="0.2">
      <c r="A114" s="26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row>
    <row r="115" spans="1:52" ht="15.75" customHeight="1" x14ac:dyDescent="0.2">
      <c r="A115" s="26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row>
    <row r="116" spans="1:52" ht="15.75" customHeight="1" x14ac:dyDescent="0.2">
      <c r="A116" s="26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row>
    <row r="117" spans="1:52" ht="15.75" customHeight="1" x14ac:dyDescent="0.2">
      <c r="A117" s="26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row>
    <row r="118" spans="1:52" ht="15.75" customHeight="1" x14ac:dyDescent="0.2">
      <c r="A118" s="26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row>
    <row r="119" spans="1:52" ht="15.75" customHeight="1" x14ac:dyDescent="0.2">
      <c r="A119" s="26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row>
    <row r="120" spans="1:52" ht="15.75" customHeight="1" x14ac:dyDescent="0.2">
      <c r="A120" s="26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row>
    <row r="121" spans="1:52" ht="15.75" customHeight="1" x14ac:dyDescent="0.2">
      <c r="A121" s="26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row>
    <row r="122" spans="1:52" ht="15.75" customHeight="1" x14ac:dyDescent="0.2">
      <c r="A122" s="26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row>
    <row r="123" spans="1:52" ht="15.75" customHeight="1" x14ac:dyDescent="0.2">
      <c r="A123" s="26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row>
    <row r="124" spans="1:52" ht="15.75" customHeight="1" x14ac:dyDescent="0.2">
      <c r="A124" s="26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row>
    <row r="125" spans="1:52" ht="15.75" customHeight="1" x14ac:dyDescent="0.2">
      <c r="A125" s="26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row>
    <row r="126" spans="1:52" ht="15.75" customHeight="1" x14ac:dyDescent="0.2">
      <c r="A126" s="26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row>
    <row r="127" spans="1:52" ht="15.75" customHeight="1" x14ac:dyDescent="0.2">
      <c r="A127" s="26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row>
    <row r="128" spans="1:52" ht="15.75" customHeight="1" x14ac:dyDescent="0.2">
      <c r="A128" s="26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row>
    <row r="129" spans="1:52" ht="15.75" customHeight="1" x14ac:dyDescent="0.2">
      <c r="A129" s="26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row>
    <row r="130" spans="1:52" ht="15.75" customHeight="1" x14ac:dyDescent="0.2">
      <c r="A130" s="26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row>
    <row r="131" spans="1:52" ht="15.75" customHeight="1" x14ac:dyDescent="0.2">
      <c r="A131" s="26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row>
    <row r="132" spans="1:52" ht="15.75" customHeight="1" x14ac:dyDescent="0.2">
      <c r="A132" s="26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row>
    <row r="133" spans="1:52" ht="15.75" customHeight="1" x14ac:dyDescent="0.2">
      <c r="A133" s="26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row>
    <row r="134" spans="1:52" ht="15.75" customHeight="1" x14ac:dyDescent="0.2">
      <c r="A134" s="26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row>
    <row r="135" spans="1:52" ht="15.75" customHeight="1" x14ac:dyDescent="0.2">
      <c r="A135" s="26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row>
    <row r="136" spans="1:52" ht="15.75" customHeight="1" x14ac:dyDescent="0.2">
      <c r="A136" s="26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row>
    <row r="137" spans="1:52" ht="15.75" customHeight="1" x14ac:dyDescent="0.2">
      <c r="A137" s="26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row>
    <row r="138" spans="1:52" ht="15.75" customHeight="1" x14ac:dyDescent="0.2">
      <c r="A138" s="26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row>
    <row r="139" spans="1:52" ht="15.75" customHeight="1" x14ac:dyDescent="0.2">
      <c r="A139" s="26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row>
    <row r="140" spans="1:52" ht="15.75" customHeight="1" x14ac:dyDescent="0.2">
      <c r="A140" s="26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row>
    <row r="141" spans="1:52" ht="15.75" customHeight="1" x14ac:dyDescent="0.2">
      <c r="A141" s="26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row>
    <row r="142" spans="1:52" ht="15.75" customHeight="1" x14ac:dyDescent="0.2">
      <c r="A142" s="26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row>
    <row r="143" spans="1:52" ht="15.75" customHeight="1" x14ac:dyDescent="0.2">
      <c r="A143" s="26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row>
    <row r="144" spans="1:52" ht="15.75" customHeight="1" x14ac:dyDescent="0.2">
      <c r="A144" s="26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row>
    <row r="145" spans="1:52" ht="15.75" customHeight="1" x14ac:dyDescent="0.2">
      <c r="A145" s="26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row>
    <row r="146" spans="1:52" ht="15.75" customHeight="1" x14ac:dyDescent="0.2">
      <c r="A146" s="26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row>
    <row r="147" spans="1:52" ht="15.75" customHeight="1" x14ac:dyDescent="0.2">
      <c r="A147" s="26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row>
    <row r="148" spans="1:52" ht="15.75" customHeight="1" x14ac:dyDescent="0.2">
      <c r="A148" s="26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row>
    <row r="149" spans="1:52" ht="15.75" customHeight="1" x14ac:dyDescent="0.2">
      <c r="A149" s="26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row>
    <row r="150" spans="1:52" ht="15.75" customHeight="1" x14ac:dyDescent="0.2">
      <c r="A150" s="26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row>
    <row r="151" spans="1:52" ht="15.75" customHeight="1" x14ac:dyDescent="0.2">
      <c r="A151" s="26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row>
    <row r="152" spans="1:52" ht="15.75" customHeight="1" x14ac:dyDescent="0.2">
      <c r="A152" s="26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row>
    <row r="153" spans="1:52" ht="15.75" customHeight="1" x14ac:dyDescent="0.2">
      <c r="A153" s="26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row>
    <row r="154" spans="1:52" ht="15.75" customHeight="1" x14ac:dyDescent="0.2">
      <c r="A154" s="26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row>
    <row r="155" spans="1:52" ht="15.75" customHeight="1" x14ac:dyDescent="0.2">
      <c r="A155" s="26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row>
    <row r="156" spans="1:52" ht="15.75" customHeight="1" x14ac:dyDescent="0.2">
      <c r="A156" s="26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row>
    <row r="157" spans="1:52" ht="15.75" customHeight="1" x14ac:dyDescent="0.2">
      <c r="A157" s="26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row>
    <row r="158" spans="1:52" ht="15.75" customHeight="1" x14ac:dyDescent="0.2">
      <c r="A158" s="26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row>
    <row r="159" spans="1:52" ht="15.75" customHeight="1" x14ac:dyDescent="0.2">
      <c r="A159" s="26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row>
    <row r="160" spans="1:52" ht="15.75" customHeight="1" x14ac:dyDescent="0.2">
      <c r="A160" s="26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row>
    <row r="161" spans="1:52" ht="15.75" customHeight="1" x14ac:dyDescent="0.2">
      <c r="A161" s="26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row>
    <row r="162" spans="1:52" ht="15.75" customHeight="1" x14ac:dyDescent="0.2">
      <c r="A162" s="26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row>
    <row r="163" spans="1:52" ht="15.75" customHeight="1" x14ac:dyDescent="0.2">
      <c r="A163" s="26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row>
    <row r="164" spans="1:52" ht="15.75" customHeight="1" x14ac:dyDescent="0.2">
      <c r="A164" s="26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row>
    <row r="165" spans="1:52" ht="15.75" customHeight="1" x14ac:dyDescent="0.2">
      <c r="A165" s="26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row>
    <row r="166" spans="1:52" ht="15.75" customHeight="1" x14ac:dyDescent="0.2">
      <c r="A166" s="26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row>
    <row r="167" spans="1:52" ht="15.75" customHeight="1" x14ac:dyDescent="0.2">
      <c r="A167" s="26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row>
    <row r="168" spans="1:52" ht="15.75" customHeight="1" x14ac:dyDescent="0.2">
      <c r="A168" s="26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row>
    <row r="169" spans="1:52" ht="15.75" customHeight="1" x14ac:dyDescent="0.2">
      <c r="A169" s="26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row>
    <row r="170" spans="1:52" ht="15.75" customHeight="1" x14ac:dyDescent="0.2">
      <c r="A170" s="26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row>
    <row r="171" spans="1:52" ht="15.75" customHeight="1" x14ac:dyDescent="0.2">
      <c r="A171" s="26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row>
    <row r="172" spans="1:52" ht="15.75" customHeight="1" x14ac:dyDescent="0.2">
      <c r="A172" s="26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row>
    <row r="173" spans="1:52" ht="15.75" customHeight="1" x14ac:dyDescent="0.2">
      <c r="A173" s="26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row>
    <row r="174" spans="1:52" ht="15.75" customHeight="1" x14ac:dyDescent="0.2">
      <c r="A174" s="26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row>
    <row r="175" spans="1:52" ht="15.75" customHeight="1" x14ac:dyDescent="0.2">
      <c r="A175" s="26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row>
    <row r="176" spans="1:52" ht="15.75" customHeight="1" x14ac:dyDescent="0.2">
      <c r="A176" s="26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row>
    <row r="177" spans="1:52" ht="15.75" customHeight="1" x14ac:dyDescent="0.2">
      <c r="A177" s="26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row>
    <row r="178" spans="1:52" ht="15.75" customHeight="1" x14ac:dyDescent="0.2">
      <c r="A178" s="26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row>
    <row r="179" spans="1:52" ht="15.75" customHeight="1" x14ac:dyDescent="0.2">
      <c r="A179" s="26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row>
    <row r="180" spans="1:52" ht="15.75" customHeight="1" x14ac:dyDescent="0.2">
      <c r="A180" s="26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row>
    <row r="181" spans="1:52" ht="15.75" customHeight="1" x14ac:dyDescent="0.2">
      <c r="A181" s="26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row>
    <row r="182" spans="1:52" ht="15.75" customHeight="1" x14ac:dyDescent="0.2">
      <c r="A182" s="26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row>
    <row r="183" spans="1:52" ht="15.75" customHeight="1" x14ac:dyDescent="0.2">
      <c r="A183" s="26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row>
    <row r="184" spans="1:52" ht="15.75" customHeight="1" x14ac:dyDescent="0.2">
      <c r="A184" s="26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row>
    <row r="185" spans="1:52" ht="15.75" customHeight="1" x14ac:dyDescent="0.2">
      <c r="A185" s="26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row>
    <row r="186" spans="1:52" ht="15.75" customHeight="1" x14ac:dyDescent="0.2">
      <c r="A186" s="26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row>
    <row r="187" spans="1:52" ht="15.75" customHeight="1" x14ac:dyDescent="0.2">
      <c r="A187" s="26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row>
    <row r="188" spans="1:52" ht="15.75" customHeight="1" x14ac:dyDescent="0.2">
      <c r="A188" s="26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row>
    <row r="189" spans="1:52" ht="15.75" customHeight="1" x14ac:dyDescent="0.2">
      <c r="A189" s="26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row>
    <row r="190" spans="1:52" ht="15.75" customHeight="1" x14ac:dyDescent="0.2">
      <c r="A190" s="26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row>
    <row r="191" spans="1:52" ht="15.75" customHeight="1" x14ac:dyDescent="0.2">
      <c r="A191" s="26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row>
    <row r="192" spans="1:52" ht="15.75" customHeight="1" x14ac:dyDescent="0.2">
      <c r="A192" s="26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row>
    <row r="193" spans="1:52" ht="15.75" customHeight="1" x14ac:dyDescent="0.2">
      <c r="A193" s="26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row>
    <row r="194" spans="1:52" ht="15.75" customHeight="1" x14ac:dyDescent="0.2">
      <c r="A194" s="26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row>
    <row r="195" spans="1:52" ht="15.75" customHeight="1" x14ac:dyDescent="0.2">
      <c r="A195" s="26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row>
    <row r="196" spans="1:52" ht="0" hidden="1" customHeight="1" x14ac:dyDescent="0.2">
      <c r="A196" s="262"/>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row>
    <row r="197" spans="1:52" ht="0" hidden="1" customHeight="1" x14ac:dyDescent="0.2">
      <c r="A197" s="262"/>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row>
    <row r="198" spans="1:52" ht="0" hidden="1" customHeight="1" x14ac:dyDescent="0.2">
      <c r="A198" s="262"/>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row>
    <row r="199" spans="1:52" ht="0" hidden="1" customHeight="1" x14ac:dyDescent="0.2">
      <c r="A199" s="262"/>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row>
    <row r="200" spans="1:52" ht="0" hidden="1" customHeight="1" x14ac:dyDescent="0.2">
      <c r="A200" s="262"/>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row>
  </sheetData>
  <sheetProtection formatCells="0" formatColumns="0" formatRows="0" autoFilter="0"/>
  <pageMargins left="0.75" right="0.75" top="1" bottom="1" header="0.5" footer="0.5"/>
  <pageSetup scale="49" orientation="portrait"/>
  <headerFooter alignWithMargins="0">
    <oddHeader>&amp;CSpring 2018 Exam 5 Make-Up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Z200"/>
  <sheetViews>
    <sheetView zoomScale="70" zoomScaleNormal="70" workbookViewId="0">
      <selection activeCell="Q15" sqref="Q15"/>
    </sheetView>
  </sheetViews>
  <sheetFormatPr defaultColWidth="0" defaultRowHeight="0" customHeight="1" zeroHeight="1" x14ac:dyDescent="0.2"/>
  <cols>
    <col min="1" max="1" width="10.5" style="201" customWidth="1"/>
    <col min="2" max="2" width="13.75" style="201" customWidth="1"/>
    <col min="3" max="3" width="14.375" style="201" customWidth="1"/>
    <col min="4" max="4" width="16.75" style="201" customWidth="1"/>
    <col min="5" max="5" width="10.625" style="201" customWidth="1"/>
    <col min="6" max="6" width="13.875" style="201" customWidth="1"/>
    <col min="7" max="7" width="13.625" style="201" customWidth="1"/>
    <col min="8" max="9" width="14.25" style="201" customWidth="1"/>
    <col min="10" max="10" width="9.75" style="201" customWidth="1"/>
    <col min="11" max="14" width="12.5" style="201" customWidth="1"/>
    <col min="15" max="49" width="8.875" style="201" customWidth="1"/>
    <col min="50" max="16384" width="8.875" style="201" hidden="1"/>
  </cols>
  <sheetData>
    <row r="1" spans="1:52" ht="15.75" customHeight="1" thickBot="1" x14ac:dyDescent="0.25">
      <c r="A1" s="1">
        <v>8</v>
      </c>
      <c r="B1" s="2"/>
      <c r="C1" s="283"/>
      <c r="D1" s="283"/>
      <c r="E1" s="283"/>
      <c r="F1" s="283"/>
      <c r="G1" s="283"/>
      <c r="H1" s="283"/>
      <c r="I1" s="283"/>
      <c r="J1" s="283"/>
      <c r="K1" s="283"/>
      <c r="L1" s="283"/>
      <c r="M1" s="283"/>
      <c r="N1" s="283"/>
      <c r="O1" s="284"/>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row>
    <row r="2" spans="1:52" ht="15.75" customHeight="1" x14ac:dyDescent="0.2">
      <c r="A2" s="38" t="s">
        <v>0</v>
      </c>
      <c r="B2" s="285"/>
      <c r="C2" s="285"/>
      <c r="D2" s="285"/>
      <c r="E2" s="285"/>
      <c r="F2" s="285"/>
      <c r="G2" s="285"/>
      <c r="H2" s="285"/>
      <c r="I2" s="285"/>
      <c r="J2" s="285"/>
      <c r="K2" s="285"/>
      <c r="L2" s="285"/>
      <c r="M2" s="285"/>
      <c r="N2" s="285"/>
      <c r="O2" s="286"/>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row>
    <row r="3" spans="1:52" ht="15.75" customHeight="1" x14ac:dyDescent="0.2">
      <c r="A3" s="42">
        <v>2</v>
      </c>
      <c r="B3" s="39"/>
      <c r="C3" s="285"/>
      <c r="D3" s="285"/>
      <c r="E3" s="285"/>
      <c r="F3" s="285"/>
      <c r="G3" s="285"/>
      <c r="H3" s="285"/>
      <c r="I3" s="285"/>
      <c r="J3" s="285"/>
      <c r="K3" s="285"/>
      <c r="L3" s="285"/>
      <c r="M3" s="285"/>
      <c r="N3" s="285"/>
      <c r="O3" s="286"/>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row>
    <row r="4" spans="1:52" ht="15.75" customHeight="1" x14ac:dyDescent="0.2">
      <c r="A4" s="42"/>
      <c r="B4" s="285" t="s">
        <v>305</v>
      </c>
      <c r="C4" s="285"/>
      <c r="D4" s="285"/>
      <c r="E4" s="285"/>
      <c r="F4" s="285"/>
      <c r="G4" s="285"/>
      <c r="H4" s="285"/>
      <c r="I4" s="285"/>
      <c r="J4" s="285"/>
      <c r="K4" s="285"/>
      <c r="L4" s="285"/>
      <c r="M4" s="285"/>
      <c r="N4" s="285"/>
      <c r="O4" s="286"/>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row>
    <row r="5" spans="1:52" ht="15.75" customHeight="1" x14ac:dyDescent="0.2">
      <c r="A5" s="42"/>
      <c r="B5" s="285" t="s">
        <v>306</v>
      </c>
      <c r="C5" s="285"/>
      <c r="D5" s="285"/>
      <c r="E5" s="285"/>
      <c r="F5" s="285"/>
      <c r="G5" s="285"/>
      <c r="H5" s="285"/>
      <c r="I5" s="285"/>
      <c r="J5" s="285"/>
      <c r="K5" s="285"/>
      <c r="L5" s="285"/>
      <c r="M5" s="285"/>
      <c r="N5" s="285"/>
      <c r="O5" s="286"/>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row>
    <row r="6" spans="1:52" ht="15.75" customHeight="1" thickBot="1" x14ac:dyDescent="0.25">
      <c r="A6" s="42"/>
      <c r="B6" s="287"/>
      <c r="C6" s="287"/>
      <c r="D6" s="287"/>
      <c r="E6" s="287"/>
      <c r="F6" s="287"/>
      <c r="G6" s="287"/>
      <c r="H6" s="287"/>
      <c r="I6" s="287"/>
      <c r="J6" s="287"/>
      <c r="K6" s="287"/>
      <c r="L6" s="287"/>
      <c r="M6" s="287"/>
      <c r="N6" s="287"/>
      <c r="O6" s="288"/>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row>
    <row r="7" spans="1:52" ht="15.75" customHeight="1" x14ac:dyDescent="0.2">
      <c r="A7" s="42"/>
      <c r="B7" s="292"/>
      <c r="C7" s="293" t="s">
        <v>307</v>
      </c>
      <c r="D7" s="293"/>
      <c r="E7" s="293" t="s">
        <v>308</v>
      </c>
      <c r="F7" s="293" t="s">
        <v>309</v>
      </c>
      <c r="G7" s="293" t="s">
        <v>309</v>
      </c>
      <c r="H7" s="293"/>
      <c r="I7" s="293"/>
      <c r="J7" s="293"/>
      <c r="K7" s="293"/>
      <c r="L7" s="293"/>
      <c r="M7" s="293"/>
      <c r="N7" s="294"/>
      <c r="O7" s="288"/>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row>
    <row r="8" spans="1:52" ht="15.75" customHeight="1" x14ac:dyDescent="0.2">
      <c r="A8" s="42"/>
      <c r="B8" s="295"/>
      <c r="C8" s="296" t="s">
        <v>310</v>
      </c>
      <c r="D8" s="296" t="s">
        <v>311</v>
      </c>
      <c r="E8" s="296" t="s">
        <v>312</v>
      </c>
      <c r="F8" s="296" t="s">
        <v>313</v>
      </c>
      <c r="G8" s="296" t="s">
        <v>313</v>
      </c>
      <c r="H8" s="296" t="s">
        <v>314</v>
      </c>
      <c r="I8" s="296" t="s">
        <v>315</v>
      </c>
      <c r="J8" s="296" t="s">
        <v>314</v>
      </c>
      <c r="K8" s="296" t="s">
        <v>316</v>
      </c>
      <c r="L8" s="296" t="s">
        <v>317</v>
      </c>
      <c r="M8" s="296" t="s">
        <v>318</v>
      </c>
      <c r="N8" s="297" t="s">
        <v>319</v>
      </c>
      <c r="O8" s="288"/>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row>
    <row r="9" spans="1:52" ht="15.75" customHeight="1" thickBot="1" x14ac:dyDescent="0.25">
      <c r="A9" s="42"/>
      <c r="B9" s="298" t="s">
        <v>320</v>
      </c>
      <c r="C9" s="299" t="s">
        <v>321</v>
      </c>
      <c r="D9" s="299" t="s">
        <v>322</v>
      </c>
      <c r="E9" s="299" t="s">
        <v>323</v>
      </c>
      <c r="F9" s="299" t="s">
        <v>324</v>
      </c>
      <c r="G9" s="299" t="s">
        <v>325</v>
      </c>
      <c r="H9" s="299" t="s">
        <v>188</v>
      </c>
      <c r="I9" s="299" t="s">
        <v>318</v>
      </c>
      <c r="J9" s="299" t="s">
        <v>318</v>
      </c>
      <c r="K9" s="300" t="s">
        <v>326</v>
      </c>
      <c r="L9" s="300" t="s">
        <v>326</v>
      </c>
      <c r="M9" s="300" t="s">
        <v>188</v>
      </c>
      <c r="N9" s="301" t="s">
        <v>327</v>
      </c>
      <c r="O9" s="288"/>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row>
    <row r="10" spans="1:52" ht="15.75" customHeight="1" x14ac:dyDescent="0.2">
      <c r="A10" s="42"/>
      <c r="B10" s="302" t="s">
        <v>6</v>
      </c>
      <c r="C10" s="303">
        <v>1212729</v>
      </c>
      <c r="D10" s="304">
        <v>1.0369999999999999</v>
      </c>
      <c r="E10" s="303">
        <v>1257600</v>
      </c>
      <c r="F10" s="303">
        <v>505300</v>
      </c>
      <c r="G10" s="305">
        <v>0.40200000000000002</v>
      </c>
      <c r="H10" s="305">
        <v>-0.35899999999999999</v>
      </c>
      <c r="I10" s="306">
        <v>1.5</v>
      </c>
      <c r="J10" s="306">
        <v>0.96</v>
      </c>
      <c r="K10" s="306">
        <v>1.93</v>
      </c>
      <c r="L10" s="306">
        <v>1.93</v>
      </c>
      <c r="M10" s="307">
        <v>0.28699999999999998</v>
      </c>
      <c r="N10" s="308">
        <v>-3.5000000000000003E-2</v>
      </c>
      <c r="O10" s="309"/>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row>
    <row r="11" spans="1:52" ht="15.75" customHeight="1" x14ac:dyDescent="0.2">
      <c r="A11" s="42"/>
      <c r="B11" s="310" t="s">
        <v>8</v>
      </c>
      <c r="C11" s="311">
        <v>995661</v>
      </c>
      <c r="D11" s="312">
        <v>1.0369999999999999</v>
      </c>
      <c r="E11" s="311">
        <v>1032500</v>
      </c>
      <c r="F11" s="311">
        <v>1134500</v>
      </c>
      <c r="G11" s="313">
        <v>1.099</v>
      </c>
      <c r="H11" s="313">
        <v>0.752</v>
      </c>
      <c r="I11" s="314">
        <v>1.25</v>
      </c>
      <c r="J11" s="314">
        <v>2.19</v>
      </c>
      <c r="K11" s="314">
        <v>4.4000000000000004</v>
      </c>
      <c r="L11" s="314">
        <v>2</v>
      </c>
      <c r="M11" s="315">
        <v>0.6</v>
      </c>
      <c r="N11" s="309">
        <v>0.19900000000000001</v>
      </c>
      <c r="O11" s="309"/>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row>
    <row r="12" spans="1:52" ht="15.75" customHeight="1" x14ac:dyDescent="0.2">
      <c r="A12" s="42"/>
      <c r="B12" s="310" t="s">
        <v>11</v>
      </c>
      <c r="C12" s="311">
        <v>622179</v>
      </c>
      <c r="D12" s="312">
        <v>1.0369999999999999</v>
      </c>
      <c r="E12" s="311">
        <v>645200</v>
      </c>
      <c r="F12" s="311">
        <v>201400</v>
      </c>
      <c r="G12" s="313">
        <v>0.312</v>
      </c>
      <c r="H12" s="313">
        <v>-0.502</v>
      </c>
      <c r="I12" s="314">
        <v>1</v>
      </c>
      <c r="J12" s="314">
        <v>0.5</v>
      </c>
      <c r="K12" s="314">
        <v>1</v>
      </c>
      <c r="L12" s="314">
        <v>1</v>
      </c>
      <c r="M12" s="315">
        <v>0</v>
      </c>
      <c r="N12" s="309">
        <v>-0.25</v>
      </c>
      <c r="O12" s="309"/>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row>
    <row r="13" spans="1:52" ht="15.75" customHeight="1" thickBot="1" x14ac:dyDescent="0.25">
      <c r="A13" s="42"/>
      <c r="B13" s="316" t="s">
        <v>25</v>
      </c>
      <c r="C13" s="317">
        <v>2830569</v>
      </c>
      <c r="D13" s="318">
        <v>1.0369999999999999</v>
      </c>
      <c r="E13" s="317">
        <v>2935300</v>
      </c>
      <c r="F13" s="317">
        <v>1841200</v>
      </c>
      <c r="G13" s="319">
        <v>0.627</v>
      </c>
      <c r="H13" s="319">
        <v>0</v>
      </c>
      <c r="I13" s="320"/>
      <c r="J13" s="320"/>
      <c r="K13" s="320"/>
      <c r="L13" s="320"/>
      <c r="M13" s="321">
        <v>0.33400000000000002</v>
      </c>
      <c r="N13" s="322">
        <v>0</v>
      </c>
      <c r="O13" s="309"/>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row>
    <row r="14" spans="1:52" ht="15.75" customHeight="1" x14ac:dyDescent="0.2">
      <c r="A14" s="42"/>
      <c r="B14" s="323"/>
      <c r="C14" s="287"/>
      <c r="D14" s="287"/>
      <c r="E14" s="323"/>
      <c r="F14" s="323"/>
      <c r="G14" s="323"/>
      <c r="H14" s="323"/>
      <c r="I14" s="323"/>
      <c r="J14" s="323"/>
      <c r="K14" s="287"/>
      <c r="L14" s="287"/>
      <c r="M14" s="287"/>
      <c r="N14" s="287"/>
      <c r="O14" s="288"/>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row>
    <row r="15" spans="1:52" ht="15.75" customHeight="1" x14ac:dyDescent="0.2">
      <c r="A15" s="42"/>
      <c r="B15" s="285" t="s">
        <v>328</v>
      </c>
      <c r="C15" s="287"/>
      <c r="D15" s="287"/>
      <c r="E15" s="287"/>
      <c r="F15" s="287"/>
      <c r="G15" s="287"/>
      <c r="H15" s="287"/>
      <c r="I15" s="287"/>
      <c r="J15" s="287"/>
      <c r="K15" s="287"/>
      <c r="L15" s="287"/>
      <c r="M15" s="287"/>
      <c r="N15" s="287"/>
      <c r="O15" s="288"/>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row>
    <row r="16" spans="1:52" ht="15.75" customHeight="1" x14ac:dyDescent="0.2">
      <c r="A16" s="42"/>
      <c r="B16" s="285" t="s">
        <v>329</v>
      </c>
      <c r="C16" s="287"/>
      <c r="D16" s="287"/>
      <c r="E16" s="287"/>
      <c r="F16" s="287"/>
      <c r="G16" s="287"/>
      <c r="H16" s="287"/>
      <c r="I16" s="287"/>
      <c r="J16" s="287"/>
      <c r="K16" s="287"/>
      <c r="L16" s="287"/>
      <c r="M16" s="287"/>
      <c r="N16" s="287"/>
      <c r="O16" s="288"/>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row>
    <row r="17" spans="1:52" ht="15.75" customHeight="1" x14ac:dyDescent="0.2">
      <c r="A17" s="42"/>
      <c r="B17" s="285" t="s">
        <v>330</v>
      </c>
      <c r="C17" s="287"/>
      <c r="D17" s="287"/>
      <c r="E17" s="287"/>
      <c r="F17" s="287"/>
      <c r="G17" s="287"/>
      <c r="H17" s="287"/>
      <c r="I17" s="287"/>
      <c r="J17" s="287"/>
      <c r="K17" s="287"/>
      <c r="L17" s="287"/>
      <c r="M17" s="287"/>
      <c r="N17" s="287"/>
      <c r="O17" s="288"/>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row>
    <row r="18" spans="1:52" ht="15.75" customHeight="1" x14ac:dyDescent="0.2">
      <c r="A18" s="324"/>
      <c r="B18" s="285" t="s">
        <v>331</v>
      </c>
      <c r="C18" s="287"/>
      <c r="D18" s="287"/>
      <c r="E18" s="287"/>
      <c r="F18" s="287"/>
      <c r="G18" s="287"/>
      <c r="H18" s="287"/>
      <c r="I18" s="287"/>
      <c r="J18" s="287"/>
      <c r="K18" s="287"/>
      <c r="L18" s="287"/>
      <c r="M18" s="287"/>
      <c r="N18" s="287"/>
      <c r="O18" s="288"/>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row>
    <row r="19" spans="1:52" ht="15.75" customHeight="1" x14ac:dyDescent="0.2">
      <c r="A19" s="42"/>
      <c r="B19" s="285" t="s">
        <v>332</v>
      </c>
      <c r="C19" s="287"/>
      <c r="D19" s="287"/>
      <c r="E19" s="287"/>
      <c r="F19" s="287"/>
      <c r="G19" s="287"/>
      <c r="H19" s="287"/>
      <c r="I19" s="287"/>
      <c r="J19" s="287"/>
      <c r="K19" s="287"/>
      <c r="L19" s="287"/>
      <c r="M19" s="287"/>
      <c r="N19" s="287"/>
      <c r="O19" s="288"/>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row>
    <row r="20" spans="1:52" ht="15.75" customHeight="1" x14ac:dyDescent="0.2">
      <c r="A20" s="42"/>
      <c r="B20" s="285"/>
      <c r="C20" s="287"/>
      <c r="D20" s="287"/>
      <c r="E20" s="287"/>
      <c r="F20" s="287"/>
      <c r="G20" s="287"/>
      <c r="H20" s="287"/>
      <c r="I20" s="287"/>
      <c r="J20" s="287"/>
      <c r="K20" s="287"/>
      <c r="L20" s="287"/>
      <c r="M20" s="287"/>
      <c r="N20" s="287"/>
      <c r="O20" s="288"/>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row>
    <row r="21" spans="1:52" ht="15.75" customHeight="1" x14ac:dyDescent="0.2">
      <c r="A21" s="42"/>
      <c r="B21" s="285" t="s">
        <v>333</v>
      </c>
      <c r="C21" s="285"/>
      <c r="D21" s="285"/>
      <c r="E21" s="285"/>
      <c r="F21" s="285"/>
      <c r="G21" s="285"/>
      <c r="H21" s="285"/>
      <c r="I21" s="285"/>
      <c r="J21" s="285"/>
      <c r="K21" s="285"/>
      <c r="L21" s="285"/>
      <c r="M21" s="285"/>
      <c r="N21" s="285"/>
      <c r="O21" s="286"/>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row>
    <row r="22" spans="1:52" ht="15.75" customHeight="1" thickBot="1" x14ac:dyDescent="0.25">
      <c r="A22" s="75"/>
      <c r="B22" s="325"/>
      <c r="C22" s="289"/>
      <c r="D22" s="289"/>
      <c r="E22" s="289"/>
      <c r="F22" s="289"/>
      <c r="G22" s="289"/>
      <c r="H22" s="289"/>
      <c r="I22" s="289"/>
      <c r="J22" s="289"/>
      <c r="K22" s="289"/>
      <c r="L22" s="289"/>
      <c r="M22" s="289"/>
      <c r="N22" s="289"/>
      <c r="O22" s="29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row>
    <row r="23" spans="1:52" ht="15.75" customHeight="1" x14ac:dyDescent="0.2">
      <c r="A23" s="260"/>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row>
    <row r="24" spans="1:52" ht="15.75" customHeight="1" x14ac:dyDescent="0.2">
      <c r="A24" s="327">
        <v>1</v>
      </c>
      <c r="B24" s="326" t="s">
        <v>348</v>
      </c>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row>
    <row r="25" spans="1:52" ht="15.75" customHeight="1" x14ac:dyDescent="0.2">
      <c r="A25" s="327"/>
      <c r="B25" s="326"/>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row>
    <row r="26" spans="1:52" ht="15.75" customHeight="1" x14ac:dyDescent="0.2">
      <c r="A26" s="327">
        <v>2</v>
      </c>
      <c r="B26" s="326" t="s">
        <v>349</v>
      </c>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row>
    <row r="27" spans="1:52" ht="15.75" customHeight="1" x14ac:dyDescent="0.2">
      <c r="A27" s="327"/>
      <c r="B27" s="326"/>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row>
    <row r="28" spans="1:52" ht="15.75" customHeight="1" x14ac:dyDescent="0.2">
      <c r="A28" s="327">
        <v>3</v>
      </c>
      <c r="B28" s="326" t="s">
        <v>350</v>
      </c>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row>
    <row r="29" spans="1:52" ht="15.75" customHeight="1" x14ac:dyDescent="0.2">
      <c r="A29" s="327"/>
      <c r="B29" s="326"/>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row>
    <row r="30" spans="1:52" ht="15.75" customHeight="1" x14ac:dyDescent="0.2">
      <c r="A30" s="327">
        <v>4</v>
      </c>
      <c r="B30" s="326" t="s">
        <v>351</v>
      </c>
      <c r="C30" s="200"/>
      <c r="D30" s="200"/>
      <c r="E30" s="200"/>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row>
    <row r="31" spans="1:52" ht="15.75" customHeight="1" x14ac:dyDescent="0.2">
      <c r="A31" s="327"/>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row>
    <row r="32" spans="1:52" ht="15.75" customHeight="1" x14ac:dyDescent="0.2">
      <c r="A32" s="260"/>
      <c r="B32" s="200"/>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row>
    <row r="33" spans="1:52" ht="15.75" customHeight="1" x14ac:dyDescent="0.2">
      <c r="A33" s="260"/>
      <c r="B33" s="200"/>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row>
    <row r="34" spans="1:52" ht="15.75" customHeight="1" x14ac:dyDescent="0.2">
      <c r="A34" s="26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row>
    <row r="35" spans="1:52" ht="15.75" customHeight="1" x14ac:dyDescent="0.2">
      <c r="A35" s="260"/>
      <c r="B35" s="200"/>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row>
    <row r="36" spans="1:52" ht="15.75" customHeight="1" x14ac:dyDescent="0.2">
      <c r="A36" s="260"/>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row>
    <row r="37" spans="1:52" ht="15.75" customHeight="1" x14ac:dyDescent="0.2">
      <c r="A37" s="260"/>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row>
    <row r="38" spans="1:52" ht="15.75" customHeight="1" x14ac:dyDescent="0.2">
      <c r="A38" s="26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row>
    <row r="39" spans="1:52" ht="15.75" customHeight="1" x14ac:dyDescent="0.2">
      <c r="A39" s="26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row>
    <row r="40" spans="1:52" ht="15.75" customHeight="1" x14ac:dyDescent="0.2">
      <c r="A40" s="26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row>
    <row r="41" spans="1:52" ht="15.75" customHeight="1" x14ac:dyDescent="0.2">
      <c r="A41" s="26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row>
    <row r="42" spans="1:52" ht="15.75" customHeight="1" x14ac:dyDescent="0.2">
      <c r="A42" s="26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row>
    <row r="43" spans="1:52" ht="15.75" customHeight="1" x14ac:dyDescent="0.2">
      <c r="A43" s="26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row>
    <row r="44" spans="1:52" ht="15.75" customHeight="1" x14ac:dyDescent="0.2">
      <c r="A44" s="26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row>
    <row r="45" spans="1:52" ht="15.75" customHeight="1" x14ac:dyDescent="0.2">
      <c r="A45" s="260"/>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row>
    <row r="46" spans="1:52" ht="15.75" customHeight="1" x14ac:dyDescent="0.2">
      <c r="A46" s="26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row>
    <row r="47" spans="1:52" ht="15.75" customHeight="1" x14ac:dyDescent="0.2">
      <c r="A47" s="260"/>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row>
    <row r="48" spans="1:52" ht="15.75" customHeight="1" x14ac:dyDescent="0.2">
      <c r="A48" s="260"/>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row>
    <row r="49" spans="1:52" ht="15.75" customHeight="1" x14ac:dyDescent="0.2">
      <c r="A49" s="260"/>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row>
    <row r="50" spans="1:52" ht="15.75" customHeight="1" x14ac:dyDescent="0.2">
      <c r="A50" s="260"/>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row>
    <row r="51" spans="1:52" ht="15.75" customHeight="1" x14ac:dyDescent="0.2">
      <c r="A51" s="260"/>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row>
    <row r="52" spans="1:52" ht="15.75" customHeight="1" x14ac:dyDescent="0.2">
      <c r="A52" s="260"/>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row>
    <row r="53" spans="1:52" ht="15.75" customHeight="1" x14ac:dyDescent="0.2">
      <c r="A53" s="26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row>
    <row r="54" spans="1:52" ht="15.75" customHeight="1" x14ac:dyDescent="0.2">
      <c r="A54" s="260"/>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row>
    <row r="55" spans="1:52" ht="15.75" customHeight="1" x14ac:dyDescent="0.2">
      <c r="A55" s="26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row>
    <row r="56" spans="1:52" ht="15.75" customHeight="1" x14ac:dyDescent="0.2">
      <c r="A56" s="26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row>
    <row r="57" spans="1:52" ht="15.75" customHeight="1" x14ac:dyDescent="0.2">
      <c r="A57" s="26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row>
    <row r="58" spans="1:52" ht="15.75" customHeight="1" x14ac:dyDescent="0.2">
      <c r="A58" s="26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row>
    <row r="59" spans="1:52" ht="15.75" customHeight="1" x14ac:dyDescent="0.2">
      <c r="A59" s="26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row>
    <row r="60" spans="1:52" ht="15.75" customHeight="1" x14ac:dyDescent="0.2">
      <c r="A60" s="26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row>
    <row r="61" spans="1:52" ht="15.75" customHeight="1" x14ac:dyDescent="0.2">
      <c r="A61" s="26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row>
    <row r="62" spans="1:52" ht="15.75" customHeight="1" x14ac:dyDescent="0.2">
      <c r="A62" s="26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row>
    <row r="63" spans="1:52" ht="15.75" customHeight="1" x14ac:dyDescent="0.2">
      <c r="A63" s="26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row>
    <row r="64" spans="1:52" ht="15.75" customHeight="1" x14ac:dyDescent="0.2">
      <c r="A64" s="26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row>
    <row r="65" spans="1:52" ht="15.75" customHeight="1" x14ac:dyDescent="0.2">
      <c r="A65" s="26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row>
    <row r="66" spans="1:52" ht="15.75" customHeight="1" x14ac:dyDescent="0.2">
      <c r="A66" s="26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row>
    <row r="67" spans="1:52" ht="15.75" customHeight="1" x14ac:dyDescent="0.2">
      <c r="A67" s="260"/>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row>
    <row r="68" spans="1:52" ht="15.75" customHeight="1" x14ac:dyDescent="0.2">
      <c r="A68" s="26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row>
    <row r="69" spans="1:52" ht="15.75" customHeight="1" x14ac:dyDescent="0.2">
      <c r="A69" s="26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row>
    <row r="70" spans="1:52" ht="15.75" customHeight="1" x14ac:dyDescent="0.2">
      <c r="A70" s="26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row>
    <row r="71" spans="1:52" ht="15.75" customHeight="1" x14ac:dyDescent="0.2">
      <c r="A71" s="26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row>
    <row r="72" spans="1:52" ht="15.75" customHeight="1" x14ac:dyDescent="0.2">
      <c r="A72" s="26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row>
    <row r="73" spans="1:52" ht="15.75" customHeight="1" x14ac:dyDescent="0.2">
      <c r="A73" s="26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row>
    <row r="74" spans="1:52" ht="15.75" customHeight="1" x14ac:dyDescent="0.2">
      <c r="A74" s="26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row>
    <row r="75" spans="1:52" ht="15.75" customHeight="1" x14ac:dyDescent="0.2">
      <c r="A75" s="26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row>
    <row r="76" spans="1:52" ht="15.75" customHeight="1" x14ac:dyDescent="0.2">
      <c r="A76" s="26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row>
    <row r="77" spans="1:52" ht="15.75" customHeight="1" x14ac:dyDescent="0.2">
      <c r="A77" s="26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row>
    <row r="78" spans="1:52" ht="15.75" customHeight="1" x14ac:dyDescent="0.2">
      <c r="A78" s="26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row>
    <row r="79" spans="1:52" ht="15.75" customHeight="1" x14ac:dyDescent="0.2">
      <c r="A79" s="26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row>
    <row r="80" spans="1:52" ht="15.75" customHeight="1" x14ac:dyDescent="0.2">
      <c r="A80" s="26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row>
    <row r="81" spans="1:52" ht="15.75" customHeight="1" x14ac:dyDescent="0.2">
      <c r="A81" s="26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row>
    <row r="82" spans="1:52" ht="15.75" customHeight="1" x14ac:dyDescent="0.2">
      <c r="A82" s="26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row>
    <row r="83" spans="1:52" ht="15.75" customHeight="1" x14ac:dyDescent="0.2">
      <c r="A83" s="26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row>
    <row r="84" spans="1:52" ht="15.75" customHeight="1" x14ac:dyDescent="0.2">
      <c r="A84" s="26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row>
    <row r="85" spans="1:52" ht="15.75" customHeight="1" x14ac:dyDescent="0.2">
      <c r="A85" s="26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row>
    <row r="86" spans="1:52" ht="15.75" customHeight="1" x14ac:dyDescent="0.2">
      <c r="A86" s="26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row>
    <row r="87" spans="1:52" ht="15.75" customHeight="1" x14ac:dyDescent="0.2">
      <c r="A87" s="26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row>
    <row r="88" spans="1:52" ht="15.75" customHeight="1" x14ac:dyDescent="0.2">
      <c r="A88" s="26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row>
    <row r="89" spans="1:52" ht="15.75" customHeight="1" x14ac:dyDescent="0.2">
      <c r="A89" s="26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row>
    <row r="90" spans="1:52" ht="15.75" customHeight="1" x14ac:dyDescent="0.2">
      <c r="A90" s="26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row>
    <row r="91" spans="1:52" ht="15.75" customHeight="1" x14ac:dyDescent="0.2">
      <c r="A91" s="26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row>
    <row r="92" spans="1:52" ht="15.75" customHeight="1" x14ac:dyDescent="0.2">
      <c r="A92" s="26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row>
    <row r="93" spans="1:52" ht="15.75" customHeight="1" x14ac:dyDescent="0.2">
      <c r="A93" s="26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row>
    <row r="94" spans="1:52" ht="15.75" customHeight="1" x14ac:dyDescent="0.2">
      <c r="A94" s="26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row>
    <row r="95" spans="1:52" ht="15.75" customHeight="1" x14ac:dyDescent="0.2">
      <c r="A95" s="26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row>
    <row r="96" spans="1:52" ht="15.75" customHeight="1" x14ac:dyDescent="0.2">
      <c r="A96" s="26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row>
    <row r="97" spans="1:52" ht="15.75" customHeight="1" x14ac:dyDescent="0.2">
      <c r="A97" s="26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row>
    <row r="98" spans="1:52" ht="15.75" customHeight="1" x14ac:dyDescent="0.2">
      <c r="A98" s="26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row>
    <row r="99" spans="1:52" ht="15.75" customHeight="1" x14ac:dyDescent="0.2">
      <c r="A99" s="26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row>
    <row r="100" spans="1:52" ht="15.75" customHeight="1" x14ac:dyDescent="0.2">
      <c r="A100" s="26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row>
    <row r="101" spans="1:52" ht="15.75" customHeight="1" x14ac:dyDescent="0.2">
      <c r="A101" s="26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row>
    <row r="102" spans="1:52" ht="15.75" customHeight="1" x14ac:dyDescent="0.2">
      <c r="A102" s="26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row>
    <row r="103" spans="1:52" ht="15.75" customHeight="1" x14ac:dyDescent="0.2">
      <c r="A103" s="26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row>
    <row r="104" spans="1:52" ht="15.75" customHeight="1" x14ac:dyDescent="0.2">
      <c r="A104" s="26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row>
    <row r="105" spans="1:52" ht="15.75" customHeight="1" x14ac:dyDescent="0.2">
      <c r="A105" s="26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row>
    <row r="106" spans="1:52" ht="15.75" customHeight="1" x14ac:dyDescent="0.2">
      <c r="A106" s="26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row>
    <row r="107" spans="1:52" ht="15.75" customHeight="1" x14ac:dyDescent="0.2">
      <c r="A107" s="26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row>
    <row r="108" spans="1:52" ht="15.75" customHeight="1" x14ac:dyDescent="0.2">
      <c r="A108" s="26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row>
    <row r="109" spans="1:52" ht="15.75" customHeight="1" x14ac:dyDescent="0.2">
      <c r="A109" s="26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row>
    <row r="110" spans="1:52" ht="15.75" customHeight="1" x14ac:dyDescent="0.2">
      <c r="A110" s="26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row>
    <row r="111" spans="1:52" ht="15.75" customHeight="1" x14ac:dyDescent="0.2">
      <c r="A111" s="26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row>
    <row r="112" spans="1:52" ht="15.75" customHeight="1" x14ac:dyDescent="0.2">
      <c r="A112" s="26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row>
    <row r="113" spans="1:52" ht="15.75" customHeight="1" x14ac:dyDescent="0.2">
      <c r="A113" s="26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row>
    <row r="114" spans="1:52" ht="15.75" customHeight="1" x14ac:dyDescent="0.2">
      <c r="A114" s="26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row>
    <row r="115" spans="1:52" ht="15.75" customHeight="1" x14ac:dyDescent="0.2">
      <c r="A115" s="26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row>
    <row r="116" spans="1:52" ht="15.75" customHeight="1" x14ac:dyDescent="0.2">
      <c r="A116" s="26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row>
    <row r="117" spans="1:52" ht="15.75" customHeight="1" x14ac:dyDescent="0.2">
      <c r="A117" s="26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row>
    <row r="118" spans="1:52" ht="15.75" customHeight="1" x14ac:dyDescent="0.2">
      <c r="A118" s="26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row>
    <row r="119" spans="1:52" ht="15.75" customHeight="1" x14ac:dyDescent="0.2">
      <c r="A119" s="26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row>
    <row r="120" spans="1:52" ht="15.75" customHeight="1" x14ac:dyDescent="0.2">
      <c r="A120" s="26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row>
    <row r="121" spans="1:52" ht="15.75" customHeight="1" x14ac:dyDescent="0.2">
      <c r="A121" s="26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row>
    <row r="122" spans="1:52" ht="15.75" customHeight="1" x14ac:dyDescent="0.2">
      <c r="A122" s="26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row>
    <row r="123" spans="1:52" ht="15.75" customHeight="1" x14ac:dyDescent="0.2">
      <c r="A123" s="26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row>
    <row r="124" spans="1:52" ht="15.75" customHeight="1" x14ac:dyDescent="0.2">
      <c r="A124" s="26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row>
    <row r="125" spans="1:52" ht="15.75" customHeight="1" x14ac:dyDescent="0.2">
      <c r="A125" s="26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row>
    <row r="126" spans="1:52" ht="15.75" customHeight="1" x14ac:dyDescent="0.2">
      <c r="A126" s="26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row>
    <row r="127" spans="1:52" ht="15.75" customHeight="1" x14ac:dyDescent="0.2">
      <c r="A127" s="26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row>
    <row r="128" spans="1:52" ht="15.75" customHeight="1" x14ac:dyDescent="0.2">
      <c r="A128" s="26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row>
    <row r="129" spans="1:52" ht="15.75" customHeight="1" x14ac:dyDescent="0.2">
      <c r="A129" s="26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row>
    <row r="130" spans="1:52" ht="15.75" customHeight="1" x14ac:dyDescent="0.2">
      <c r="A130" s="26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row>
    <row r="131" spans="1:52" ht="15.75" customHeight="1" x14ac:dyDescent="0.2">
      <c r="A131" s="26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row>
    <row r="132" spans="1:52" ht="15.75" customHeight="1" x14ac:dyDescent="0.2">
      <c r="A132" s="26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row>
    <row r="133" spans="1:52" ht="15.75" customHeight="1" x14ac:dyDescent="0.2">
      <c r="A133" s="26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row>
    <row r="134" spans="1:52" ht="15.75" customHeight="1" x14ac:dyDescent="0.2">
      <c r="A134" s="26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row>
    <row r="135" spans="1:52" ht="15.75" customHeight="1" x14ac:dyDescent="0.2">
      <c r="A135" s="26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row>
    <row r="136" spans="1:52" ht="15.75" customHeight="1" x14ac:dyDescent="0.2">
      <c r="A136" s="26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row>
    <row r="137" spans="1:52" ht="15.75" customHeight="1" x14ac:dyDescent="0.2">
      <c r="A137" s="26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row>
    <row r="138" spans="1:52" ht="15.75" customHeight="1" x14ac:dyDescent="0.2">
      <c r="A138" s="26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row>
    <row r="139" spans="1:52" ht="15.75" customHeight="1" x14ac:dyDescent="0.2">
      <c r="A139" s="26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row>
    <row r="140" spans="1:52" ht="15.75" customHeight="1" x14ac:dyDescent="0.2">
      <c r="A140" s="26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row>
    <row r="141" spans="1:52" ht="15.75" customHeight="1" x14ac:dyDescent="0.2">
      <c r="A141" s="26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row>
    <row r="142" spans="1:52" ht="15.75" customHeight="1" x14ac:dyDescent="0.2">
      <c r="A142" s="26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row>
    <row r="143" spans="1:52" ht="15.75" customHeight="1" x14ac:dyDescent="0.2">
      <c r="A143" s="26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row>
    <row r="144" spans="1:52" ht="15.75" customHeight="1" x14ac:dyDescent="0.2">
      <c r="A144" s="26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row>
    <row r="145" spans="1:52" ht="15.75" customHeight="1" x14ac:dyDescent="0.2">
      <c r="A145" s="26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row>
    <row r="146" spans="1:52" ht="15.75" customHeight="1" x14ac:dyDescent="0.2">
      <c r="A146" s="26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row>
    <row r="147" spans="1:52" ht="15.75" customHeight="1" x14ac:dyDescent="0.2">
      <c r="A147" s="26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row>
    <row r="148" spans="1:52" ht="15.75" customHeight="1" x14ac:dyDescent="0.2">
      <c r="A148" s="26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row>
    <row r="149" spans="1:52" ht="15.75" customHeight="1" x14ac:dyDescent="0.2">
      <c r="A149" s="26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row>
    <row r="150" spans="1:52" ht="15.75" customHeight="1" x14ac:dyDescent="0.2">
      <c r="A150" s="26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row>
    <row r="151" spans="1:52" ht="15.75" customHeight="1" x14ac:dyDescent="0.2">
      <c r="A151" s="26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row>
    <row r="152" spans="1:52" ht="15.75" customHeight="1" x14ac:dyDescent="0.2">
      <c r="A152" s="26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row>
    <row r="153" spans="1:52" ht="15.75" customHeight="1" x14ac:dyDescent="0.2">
      <c r="A153" s="26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row>
    <row r="154" spans="1:52" ht="15.75" customHeight="1" x14ac:dyDescent="0.2">
      <c r="A154" s="26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row>
    <row r="155" spans="1:52" ht="15.75" customHeight="1" x14ac:dyDescent="0.2">
      <c r="A155" s="26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row>
    <row r="156" spans="1:52" ht="15.75" customHeight="1" x14ac:dyDescent="0.2">
      <c r="A156" s="26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row>
    <row r="157" spans="1:52" ht="15.75" customHeight="1" x14ac:dyDescent="0.2">
      <c r="A157" s="26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row>
    <row r="158" spans="1:52" ht="15.75" customHeight="1" x14ac:dyDescent="0.2">
      <c r="A158" s="26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row>
    <row r="159" spans="1:52" ht="15.75" customHeight="1" x14ac:dyDescent="0.2">
      <c r="A159" s="26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row>
    <row r="160" spans="1:52" ht="15.75" customHeight="1" x14ac:dyDescent="0.2">
      <c r="A160" s="26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row>
    <row r="161" spans="1:52" ht="15.75" customHeight="1" x14ac:dyDescent="0.2">
      <c r="A161" s="26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row>
    <row r="162" spans="1:52" ht="15.75" customHeight="1" x14ac:dyDescent="0.2">
      <c r="A162" s="26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row>
    <row r="163" spans="1:52" ht="15.75" customHeight="1" x14ac:dyDescent="0.2">
      <c r="A163" s="26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row>
    <row r="164" spans="1:52" ht="15.75" customHeight="1" x14ac:dyDescent="0.2">
      <c r="A164" s="26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row>
    <row r="165" spans="1:52" ht="15.75" customHeight="1" x14ac:dyDescent="0.2">
      <c r="A165" s="26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row>
    <row r="166" spans="1:52" ht="15.75" customHeight="1" x14ac:dyDescent="0.2">
      <c r="A166" s="26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row>
    <row r="167" spans="1:52" ht="15.75" customHeight="1" x14ac:dyDescent="0.2">
      <c r="A167" s="26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row>
    <row r="168" spans="1:52" ht="15.75" customHeight="1" x14ac:dyDescent="0.2">
      <c r="A168" s="26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row>
    <row r="169" spans="1:52" ht="15.75" customHeight="1" x14ac:dyDescent="0.2">
      <c r="A169" s="26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row>
    <row r="170" spans="1:52" ht="15.75" customHeight="1" x14ac:dyDescent="0.2">
      <c r="A170" s="26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row>
    <row r="171" spans="1:52" ht="15.75" customHeight="1" x14ac:dyDescent="0.2">
      <c r="A171" s="26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row>
    <row r="172" spans="1:52" ht="15.75" customHeight="1" x14ac:dyDescent="0.2">
      <c r="A172" s="26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row>
    <row r="173" spans="1:52" ht="15.75" customHeight="1" x14ac:dyDescent="0.2">
      <c r="A173" s="26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row>
    <row r="174" spans="1:52" ht="15.75" customHeight="1" x14ac:dyDescent="0.2">
      <c r="A174" s="26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row>
    <row r="175" spans="1:52" ht="15.75" customHeight="1" x14ac:dyDescent="0.2">
      <c r="A175" s="26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row>
    <row r="176" spans="1:52" ht="15.75" customHeight="1" x14ac:dyDescent="0.2">
      <c r="A176" s="26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row>
    <row r="177" spans="1:52" ht="15.75" customHeight="1" x14ac:dyDescent="0.2">
      <c r="A177" s="26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row>
    <row r="178" spans="1:52" ht="15.75" customHeight="1" x14ac:dyDescent="0.2">
      <c r="A178" s="26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row>
    <row r="179" spans="1:52" ht="15.75" customHeight="1" x14ac:dyDescent="0.2">
      <c r="A179" s="26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row>
    <row r="180" spans="1:52" ht="15.75" customHeight="1" x14ac:dyDescent="0.2">
      <c r="A180" s="26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row>
    <row r="181" spans="1:52" ht="15.75" customHeight="1" x14ac:dyDescent="0.2">
      <c r="A181" s="26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row>
    <row r="182" spans="1:52" ht="15.75" customHeight="1" x14ac:dyDescent="0.2">
      <c r="A182" s="26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row>
    <row r="183" spans="1:52" ht="15.75" customHeight="1" x14ac:dyDescent="0.2">
      <c r="A183" s="26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row>
    <row r="184" spans="1:52" ht="15.75" customHeight="1" x14ac:dyDescent="0.2">
      <c r="A184" s="26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row>
    <row r="185" spans="1:52" ht="15.75" customHeight="1" x14ac:dyDescent="0.2">
      <c r="A185" s="26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row>
    <row r="186" spans="1:52" ht="15.75" customHeight="1" x14ac:dyDescent="0.2">
      <c r="A186" s="26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row>
    <row r="187" spans="1:52" ht="15.75" customHeight="1" x14ac:dyDescent="0.2">
      <c r="A187" s="26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row>
    <row r="188" spans="1:52" ht="15.75" customHeight="1" x14ac:dyDescent="0.2">
      <c r="A188" s="26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row>
    <row r="189" spans="1:52" ht="15.75" customHeight="1" x14ac:dyDescent="0.2">
      <c r="A189" s="26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row>
    <row r="190" spans="1:52" ht="15.75" customHeight="1" x14ac:dyDescent="0.2">
      <c r="A190" s="26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row>
    <row r="191" spans="1:52" ht="15.75" customHeight="1" x14ac:dyDescent="0.2">
      <c r="A191" s="26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row>
    <row r="192" spans="1:52" ht="15.75" customHeight="1" x14ac:dyDescent="0.2">
      <c r="A192" s="26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row>
    <row r="193" spans="1:52" ht="15.75" customHeight="1" x14ac:dyDescent="0.2">
      <c r="A193" s="26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row>
    <row r="194" spans="1:52" ht="15.75" customHeight="1" x14ac:dyDescent="0.2">
      <c r="A194" s="26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row>
    <row r="195" spans="1:52" ht="15.75" customHeight="1" x14ac:dyDescent="0.2">
      <c r="A195" s="26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row>
    <row r="196" spans="1:52" ht="0" hidden="1" customHeight="1" x14ac:dyDescent="0.2">
      <c r="A196" s="262"/>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row>
    <row r="197" spans="1:52" ht="0" hidden="1" customHeight="1" x14ac:dyDescent="0.2">
      <c r="A197" s="262"/>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row>
    <row r="198" spans="1:52" ht="0" hidden="1" customHeight="1" x14ac:dyDescent="0.2">
      <c r="A198" s="262"/>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row>
    <row r="199" spans="1:52" ht="0" hidden="1" customHeight="1" x14ac:dyDescent="0.2">
      <c r="A199" s="262"/>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row>
    <row r="200" spans="1:52" ht="0" hidden="1" customHeight="1" x14ac:dyDescent="0.2">
      <c r="A200" s="262"/>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row>
  </sheetData>
  <sheetProtection formatCells="0" formatColumns="0" formatRows="0" autoFilter="0"/>
  <pageMargins left="0.75" right="0.75" top="1" bottom="1" header="0.5" footer="0.5"/>
  <pageSetup scale="49" orientation="portrait"/>
  <headerFooter alignWithMargins="0">
    <oddHeader>&amp;CSpring 2018 Exam 5 Make-Up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W200"/>
  <sheetViews>
    <sheetView workbookViewId="0"/>
  </sheetViews>
  <sheetFormatPr defaultRowHeight="14.25" x14ac:dyDescent="0.2"/>
  <cols>
    <col min="3" max="3" width="20.125" customWidth="1"/>
    <col min="4" max="4" width="15.75" bestFit="1" customWidth="1"/>
    <col min="5" max="5" width="16" customWidth="1"/>
    <col min="6" max="6" width="18.875" customWidth="1"/>
  </cols>
  <sheetData>
    <row r="1" spans="1:699" ht="15" thickBot="1" x14ac:dyDescent="0.25">
      <c r="A1" s="1">
        <v>1</v>
      </c>
      <c r="B1" s="2"/>
      <c r="C1" s="3"/>
      <c r="D1" s="3"/>
      <c r="E1" s="3"/>
      <c r="F1" s="4"/>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c r="IW1" s="6"/>
      <c r="IX1" s="6"/>
      <c r="IY1" s="6"/>
      <c r="IZ1" s="6"/>
      <c r="JA1" s="6"/>
      <c r="JB1" s="6"/>
      <c r="JC1" s="6"/>
      <c r="JD1" s="6"/>
      <c r="JE1" s="6"/>
      <c r="JF1" s="6"/>
      <c r="JG1" s="6"/>
      <c r="JH1" s="6"/>
      <c r="JI1" s="6"/>
      <c r="JJ1" s="6"/>
      <c r="JK1" s="6"/>
      <c r="JL1" s="6"/>
      <c r="JM1" s="6"/>
      <c r="JN1" s="6"/>
      <c r="JO1" s="6"/>
      <c r="JP1" s="6"/>
      <c r="JQ1" s="6"/>
      <c r="JR1" s="6"/>
      <c r="JS1" s="6"/>
      <c r="JT1" s="6"/>
      <c r="JU1" s="6"/>
      <c r="JV1" s="6"/>
      <c r="JW1" s="6"/>
      <c r="JX1" s="6"/>
      <c r="JY1" s="6"/>
      <c r="JZ1" s="6"/>
      <c r="KA1" s="6"/>
      <c r="KB1" s="6"/>
      <c r="KC1" s="6"/>
      <c r="KD1" s="6"/>
      <c r="KE1" s="6"/>
      <c r="KF1" s="6"/>
      <c r="KG1" s="6"/>
      <c r="KH1" s="6"/>
      <c r="KI1" s="6"/>
      <c r="KJ1" s="6"/>
      <c r="KK1" s="6"/>
      <c r="KL1" s="6"/>
      <c r="KM1" s="6"/>
      <c r="KN1" s="6"/>
      <c r="KO1" s="6"/>
      <c r="KP1" s="6"/>
      <c r="KQ1" s="6"/>
      <c r="KR1" s="6"/>
      <c r="KS1" s="6"/>
      <c r="KT1" s="6"/>
      <c r="KU1" s="6"/>
      <c r="KV1" s="6"/>
      <c r="KW1" s="6"/>
      <c r="KX1" s="6"/>
      <c r="KY1" s="6"/>
      <c r="KZ1" s="6"/>
      <c r="LA1" s="6"/>
      <c r="LB1" s="6"/>
      <c r="LC1" s="6"/>
      <c r="LD1" s="6"/>
      <c r="LE1" s="6"/>
      <c r="LF1" s="6"/>
      <c r="LG1" s="6"/>
      <c r="LH1" s="6"/>
      <c r="LI1" s="6"/>
      <c r="LJ1" s="6"/>
      <c r="LK1" s="6"/>
      <c r="LL1" s="6"/>
      <c r="LM1" s="6"/>
      <c r="LN1" s="6"/>
      <c r="LO1" s="6"/>
      <c r="LP1" s="6"/>
      <c r="LQ1" s="6"/>
      <c r="LR1" s="6"/>
      <c r="LS1" s="6"/>
      <c r="LT1" s="6"/>
      <c r="LU1" s="6"/>
      <c r="LV1" s="6"/>
      <c r="LW1" s="6"/>
      <c r="LX1" s="6"/>
      <c r="LY1" s="6"/>
      <c r="LZ1" s="6"/>
      <c r="MA1" s="6"/>
      <c r="MB1" s="6"/>
      <c r="MC1" s="6"/>
      <c r="MD1" s="6"/>
      <c r="ME1" s="6"/>
      <c r="MF1" s="6"/>
      <c r="MG1" s="6"/>
      <c r="MH1" s="6"/>
      <c r="MI1" s="6"/>
      <c r="MJ1" s="6"/>
      <c r="MK1" s="6"/>
      <c r="ML1" s="6"/>
      <c r="MM1" s="6"/>
      <c r="MN1" s="6"/>
      <c r="MO1" s="6"/>
      <c r="MP1" s="6"/>
      <c r="MQ1" s="6"/>
      <c r="MR1" s="6"/>
      <c r="MS1" s="6"/>
      <c r="MT1" s="6"/>
      <c r="MU1" s="6"/>
      <c r="MV1" s="6"/>
      <c r="MW1" s="6"/>
      <c r="MX1" s="6"/>
      <c r="MY1" s="6"/>
      <c r="MZ1" s="6"/>
      <c r="NA1" s="6"/>
      <c r="NB1" s="6"/>
      <c r="NC1" s="6"/>
      <c r="ND1" s="6"/>
      <c r="NE1" s="6"/>
      <c r="NF1" s="6"/>
      <c r="NG1" s="6"/>
      <c r="NH1" s="6"/>
      <c r="NI1" s="6"/>
      <c r="NJ1" s="6"/>
      <c r="NK1" s="6"/>
      <c r="NL1" s="6"/>
      <c r="NM1" s="6"/>
      <c r="NN1" s="6"/>
      <c r="NO1" s="6"/>
      <c r="NP1" s="6"/>
      <c r="NQ1" s="6"/>
      <c r="NR1" s="6"/>
      <c r="NS1" s="6"/>
      <c r="NT1" s="6"/>
      <c r="NU1" s="6"/>
      <c r="NV1" s="6"/>
      <c r="NW1" s="6"/>
      <c r="NX1" s="6"/>
      <c r="NY1" s="6"/>
      <c r="NZ1" s="6"/>
      <c r="OA1" s="6"/>
      <c r="OB1" s="6"/>
      <c r="OC1" s="6"/>
      <c r="OD1" s="6"/>
      <c r="OE1" s="6"/>
      <c r="OF1" s="6"/>
      <c r="OG1" s="6"/>
      <c r="OH1" s="6"/>
      <c r="OI1" s="6"/>
      <c r="OJ1" s="6"/>
      <c r="OK1" s="6"/>
      <c r="OL1" s="6"/>
      <c r="OM1" s="6"/>
      <c r="ON1" s="6"/>
      <c r="OO1" s="6"/>
      <c r="OP1" s="6"/>
      <c r="OQ1" s="6"/>
      <c r="OR1" s="6"/>
      <c r="OS1" s="6"/>
      <c r="OT1" s="6"/>
      <c r="OU1" s="6"/>
      <c r="OV1" s="6"/>
      <c r="OW1" s="6"/>
      <c r="OX1" s="6"/>
      <c r="OY1" s="6"/>
      <c r="OZ1" s="6"/>
      <c r="PA1" s="6"/>
      <c r="PB1" s="6"/>
      <c r="PC1" s="6"/>
      <c r="PD1" s="6"/>
      <c r="PE1" s="6"/>
      <c r="PF1" s="6"/>
      <c r="PG1" s="6"/>
      <c r="PH1" s="6"/>
      <c r="PI1" s="6"/>
      <c r="PJ1" s="6"/>
      <c r="PK1" s="6"/>
      <c r="PL1" s="6"/>
      <c r="PM1" s="6"/>
      <c r="PN1" s="6"/>
      <c r="PO1" s="6"/>
      <c r="PP1" s="6"/>
      <c r="PQ1" s="6"/>
      <c r="PR1" s="6"/>
      <c r="PS1" s="6"/>
      <c r="PT1" s="6"/>
      <c r="PU1" s="6"/>
      <c r="PV1" s="6"/>
      <c r="PW1" s="6"/>
      <c r="PX1" s="6"/>
      <c r="PY1" s="6"/>
      <c r="PZ1" s="6"/>
      <c r="QA1" s="6"/>
      <c r="QB1" s="6"/>
      <c r="QC1" s="6"/>
      <c r="QD1" s="6"/>
      <c r="QE1" s="6"/>
      <c r="QF1" s="6"/>
      <c r="QG1" s="6"/>
      <c r="QH1" s="6"/>
      <c r="QI1" s="6"/>
      <c r="QJ1" s="6"/>
      <c r="QK1" s="6"/>
      <c r="QL1" s="6"/>
      <c r="QM1" s="6"/>
      <c r="QN1" s="6"/>
      <c r="QO1" s="6"/>
      <c r="QP1" s="6"/>
      <c r="QQ1" s="6"/>
      <c r="QR1" s="6"/>
      <c r="QS1" s="6"/>
      <c r="QT1" s="6"/>
      <c r="QU1" s="6"/>
      <c r="QV1" s="6"/>
      <c r="QW1" s="6"/>
      <c r="QX1" s="6"/>
      <c r="QY1" s="6"/>
      <c r="QZ1" s="6"/>
      <c r="RA1" s="6"/>
      <c r="RB1" s="6"/>
      <c r="RC1" s="6"/>
      <c r="RD1" s="6"/>
      <c r="RE1" s="6"/>
      <c r="RF1" s="6"/>
      <c r="RG1" s="6"/>
      <c r="RH1" s="6"/>
      <c r="RI1" s="6"/>
      <c r="RJ1" s="6"/>
      <c r="RK1" s="6"/>
      <c r="RL1" s="6"/>
      <c r="RM1" s="6"/>
      <c r="RN1" s="6"/>
      <c r="RO1" s="6"/>
      <c r="RP1" s="6"/>
      <c r="RQ1" s="6"/>
      <c r="RR1" s="6"/>
      <c r="RS1" s="6"/>
      <c r="RT1" s="6"/>
      <c r="RU1" s="6"/>
      <c r="RV1" s="6"/>
      <c r="RW1" s="6"/>
      <c r="RX1" s="6"/>
      <c r="RY1" s="6"/>
      <c r="RZ1" s="6"/>
      <c r="SA1" s="6"/>
      <c r="SB1" s="6"/>
      <c r="SC1" s="6"/>
      <c r="SD1" s="6"/>
      <c r="SE1" s="6"/>
      <c r="SF1" s="6"/>
      <c r="SG1" s="6"/>
      <c r="SH1" s="6"/>
      <c r="SI1" s="6"/>
      <c r="SJ1" s="6"/>
      <c r="SK1" s="6"/>
      <c r="SL1" s="6"/>
      <c r="SM1" s="6"/>
      <c r="SN1" s="6"/>
      <c r="SO1" s="6"/>
      <c r="SP1" s="6"/>
      <c r="SQ1" s="6"/>
      <c r="SR1" s="6"/>
      <c r="SS1" s="6"/>
      <c r="ST1" s="6"/>
      <c r="SU1" s="6"/>
      <c r="SV1" s="6"/>
      <c r="SW1" s="6"/>
      <c r="SX1" s="6"/>
      <c r="SY1" s="6"/>
      <c r="SZ1" s="6"/>
      <c r="TA1" s="6"/>
      <c r="TB1" s="6"/>
      <c r="TC1" s="6"/>
      <c r="TD1" s="6"/>
      <c r="TE1" s="6"/>
      <c r="TF1" s="6"/>
      <c r="TG1" s="6"/>
      <c r="TH1" s="6"/>
      <c r="TI1" s="6"/>
      <c r="TJ1" s="6"/>
      <c r="TK1" s="6"/>
      <c r="TL1" s="6"/>
      <c r="TM1" s="6"/>
      <c r="TN1" s="6"/>
      <c r="TO1" s="6"/>
      <c r="TP1" s="6"/>
      <c r="TQ1" s="6"/>
      <c r="TR1" s="6"/>
      <c r="TS1" s="6"/>
      <c r="TT1" s="6"/>
      <c r="TU1" s="6"/>
      <c r="TV1" s="6"/>
      <c r="TW1" s="6"/>
      <c r="TX1" s="6"/>
      <c r="TY1" s="6"/>
      <c r="TZ1" s="6"/>
      <c r="UA1" s="6"/>
      <c r="UB1" s="6"/>
      <c r="UC1" s="6"/>
      <c r="UD1" s="6"/>
      <c r="UE1" s="6"/>
      <c r="UF1" s="6"/>
      <c r="UG1" s="6"/>
      <c r="UH1" s="6"/>
      <c r="UI1" s="6"/>
      <c r="UJ1" s="6"/>
      <c r="UK1" s="6"/>
      <c r="UL1" s="6"/>
      <c r="UM1" s="6"/>
      <c r="UN1" s="6"/>
      <c r="UO1" s="6"/>
      <c r="UP1" s="6"/>
      <c r="UQ1" s="6"/>
      <c r="UR1" s="6"/>
      <c r="US1" s="6"/>
      <c r="UT1" s="6"/>
      <c r="UU1" s="6"/>
      <c r="UV1" s="6"/>
      <c r="UW1" s="6"/>
      <c r="UX1" s="6"/>
      <c r="UY1" s="6"/>
      <c r="UZ1" s="6"/>
      <c r="VA1" s="6"/>
      <c r="VB1" s="6"/>
      <c r="VC1" s="6"/>
      <c r="VD1" s="6"/>
      <c r="VE1" s="6"/>
      <c r="VF1" s="6"/>
      <c r="VG1" s="6"/>
      <c r="VH1" s="6"/>
      <c r="VI1" s="6"/>
      <c r="VJ1" s="6"/>
      <c r="VK1" s="6"/>
      <c r="VL1" s="6"/>
      <c r="VM1" s="6"/>
      <c r="VN1" s="6"/>
      <c r="VO1" s="6"/>
      <c r="VP1" s="6"/>
      <c r="VQ1" s="6"/>
      <c r="VR1" s="6"/>
      <c r="VS1" s="6"/>
      <c r="VT1" s="6"/>
      <c r="VU1" s="6"/>
      <c r="VV1" s="6"/>
      <c r="VW1" s="6"/>
      <c r="VX1" s="6"/>
      <c r="VY1" s="6"/>
      <c r="VZ1" s="6"/>
      <c r="WA1" s="6"/>
      <c r="WB1" s="6"/>
      <c r="WC1" s="6"/>
      <c r="WD1" s="6"/>
      <c r="WE1" s="6"/>
      <c r="WF1" s="6"/>
      <c r="WG1" s="6"/>
      <c r="WH1" s="6"/>
      <c r="WI1" s="6"/>
      <c r="WJ1" s="6"/>
      <c r="WK1" s="6"/>
      <c r="WL1" s="6"/>
      <c r="WM1" s="6"/>
      <c r="WN1" s="6"/>
      <c r="WO1" s="6"/>
      <c r="WP1" s="6"/>
      <c r="WQ1" s="6"/>
      <c r="WR1" s="6"/>
      <c r="WS1" s="6"/>
      <c r="WT1" s="6"/>
      <c r="WU1" s="6"/>
      <c r="WV1" s="6"/>
      <c r="WW1" s="6"/>
      <c r="WX1" s="6"/>
      <c r="WY1" s="6"/>
      <c r="WZ1" s="6"/>
      <c r="XA1" s="6"/>
      <c r="XB1" s="6"/>
      <c r="XC1" s="6"/>
      <c r="XD1" s="6"/>
      <c r="XE1" s="6"/>
      <c r="XF1" s="6"/>
      <c r="XG1" s="6"/>
      <c r="XH1" s="6"/>
      <c r="XI1" s="6"/>
      <c r="XJ1" s="6"/>
      <c r="XK1" s="6"/>
      <c r="XL1" s="6"/>
      <c r="XM1" s="6"/>
      <c r="XN1" s="6"/>
      <c r="XO1" s="6"/>
      <c r="XP1" s="6"/>
      <c r="XQ1" s="6"/>
      <c r="XR1" s="6"/>
      <c r="XS1" s="6"/>
      <c r="XT1" s="6"/>
      <c r="XU1" s="6"/>
      <c r="XV1" s="6"/>
      <c r="XW1" s="6"/>
      <c r="XX1" s="6"/>
      <c r="XY1" s="6"/>
      <c r="XZ1" s="6"/>
      <c r="YA1" s="6"/>
      <c r="YB1" s="6"/>
      <c r="YC1" s="6"/>
      <c r="YD1" s="6"/>
      <c r="YE1" s="6"/>
      <c r="YF1" s="6"/>
      <c r="YG1" s="6"/>
      <c r="YH1" s="6"/>
      <c r="YI1" s="6"/>
      <c r="YJ1" s="6"/>
      <c r="YK1" s="6"/>
      <c r="YL1" s="6"/>
      <c r="YM1" s="6"/>
      <c r="YN1" s="6"/>
      <c r="YO1" s="6"/>
      <c r="YP1" s="6"/>
      <c r="YQ1" s="6"/>
      <c r="YR1" s="6"/>
      <c r="YS1" s="6"/>
      <c r="YT1" s="6"/>
      <c r="YU1" s="6"/>
      <c r="YV1" s="6"/>
      <c r="YW1" s="6"/>
      <c r="YX1" s="6"/>
      <c r="YY1" s="6"/>
      <c r="YZ1" s="6"/>
      <c r="ZA1" s="6"/>
      <c r="ZB1" s="6"/>
      <c r="ZC1" s="6"/>
      <c r="ZD1" s="6"/>
      <c r="ZE1" s="6"/>
      <c r="ZF1" s="6"/>
      <c r="ZG1" s="6"/>
      <c r="ZH1" s="6"/>
      <c r="ZI1" s="6"/>
      <c r="ZJ1" s="6"/>
      <c r="ZK1" s="6"/>
      <c r="ZL1" s="6"/>
      <c r="ZM1" s="6"/>
      <c r="ZN1" s="6"/>
      <c r="ZO1" s="6"/>
      <c r="ZP1" s="6"/>
      <c r="ZQ1" s="6"/>
      <c r="ZR1" s="6"/>
      <c r="ZS1" s="6"/>
      <c r="ZT1" s="6"/>
      <c r="ZU1" s="6"/>
      <c r="ZV1" s="6"/>
      <c r="ZW1" s="6"/>
    </row>
    <row r="2" spans="1:699" x14ac:dyDescent="0.2">
      <c r="A2" s="7" t="s">
        <v>0</v>
      </c>
      <c r="B2" s="8"/>
      <c r="C2" s="8"/>
      <c r="D2" s="8"/>
      <c r="E2" s="8"/>
      <c r="F2" s="9"/>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c r="WR2" s="6"/>
      <c r="WS2" s="6"/>
      <c r="WT2" s="6"/>
      <c r="WU2" s="6"/>
      <c r="WV2" s="6"/>
      <c r="WW2" s="6"/>
      <c r="WX2" s="6"/>
      <c r="WY2" s="6"/>
      <c r="WZ2" s="6"/>
      <c r="XA2" s="6"/>
      <c r="XB2" s="6"/>
      <c r="XC2" s="6"/>
      <c r="XD2" s="6"/>
      <c r="XE2" s="6"/>
      <c r="XF2" s="6"/>
      <c r="XG2" s="6"/>
      <c r="XH2" s="6"/>
      <c r="XI2" s="6"/>
      <c r="XJ2" s="6"/>
      <c r="XK2" s="6"/>
      <c r="XL2" s="6"/>
      <c r="XM2" s="6"/>
      <c r="XN2" s="6"/>
      <c r="XO2" s="6"/>
      <c r="XP2" s="6"/>
      <c r="XQ2" s="6"/>
      <c r="XR2" s="6"/>
      <c r="XS2" s="6"/>
      <c r="XT2" s="6"/>
      <c r="XU2" s="6"/>
      <c r="XV2" s="6"/>
      <c r="XW2" s="6"/>
      <c r="XX2" s="6"/>
      <c r="XY2" s="6"/>
      <c r="XZ2" s="6"/>
      <c r="YA2" s="6"/>
      <c r="YB2" s="6"/>
      <c r="YC2" s="6"/>
      <c r="YD2" s="6"/>
      <c r="YE2" s="6"/>
      <c r="YF2" s="6"/>
      <c r="YG2" s="6"/>
      <c r="YH2" s="6"/>
      <c r="YI2" s="6"/>
      <c r="YJ2" s="6"/>
      <c r="YK2" s="6"/>
      <c r="YL2" s="6"/>
      <c r="YM2" s="6"/>
      <c r="YN2" s="6"/>
      <c r="YO2" s="6"/>
      <c r="YP2" s="6"/>
      <c r="YQ2" s="6"/>
      <c r="YR2" s="6"/>
      <c r="YS2" s="6"/>
      <c r="YT2" s="6"/>
      <c r="YU2" s="6"/>
      <c r="YV2" s="6"/>
      <c r="YW2" s="6"/>
      <c r="YX2" s="6"/>
      <c r="YY2" s="6"/>
      <c r="YZ2" s="6"/>
      <c r="ZA2" s="6"/>
      <c r="ZB2" s="6"/>
      <c r="ZC2" s="6"/>
      <c r="ZD2" s="6"/>
      <c r="ZE2" s="6"/>
      <c r="ZF2" s="6"/>
      <c r="ZG2" s="6"/>
      <c r="ZH2" s="6"/>
      <c r="ZI2" s="6"/>
      <c r="ZJ2" s="6"/>
      <c r="ZK2" s="6"/>
      <c r="ZL2" s="6"/>
      <c r="ZM2" s="6"/>
      <c r="ZN2" s="6"/>
      <c r="ZO2" s="6"/>
      <c r="ZP2" s="6"/>
      <c r="ZQ2" s="6"/>
      <c r="ZR2" s="6"/>
      <c r="ZS2" s="6"/>
      <c r="ZT2" s="6"/>
      <c r="ZU2" s="6"/>
      <c r="ZV2" s="6"/>
      <c r="ZW2" s="6"/>
    </row>
    <row r="3" spans="1:699" x14ac:dyDescent="0.2">
      <c r="A3" s="10">
        <v>1.25</v>
      </c>
      <c r="B3" s="11"/>
      <c r="C3" s="8"/>
      <c r="D3" s="8"/>
      <c r="E3" s="8"/>
      <c r="F3" s="9"/>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row>
    <row r="4" spans="1:699" x14ac:dyDescent="0.2">
      <c r="A4" s="12"/>
      <c r="B4" s="8" t="s">
        <v>1</v>
      </c>
      <c r="C4" s="8"/>
      <c r="D4" s="8"/>
      <c r="E4" s="8"/>
      <c r="F4" s="9"/>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row>
    <row r="5" spans="1:699" ht="15" thickBot="1" x14ac:dyDescent="0.25">
      <c r="A5" s="12"/>
      <c r="B5" s="8"/>
      <c r="C5" s="8"/>
      <c r="D5" s="8"/>
      <c r="E5" s="8"/>
      <c r="F5" s="9"/>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row>
    <row r="6" spans="1:699" ht="43.5" thickBot="1" x14ac:dyDescent="0.25">
      <c r="A6" s="12"/>
      <c r="B6" s="13" t="s">
        <v>2</v>
      </c>
      <c r="C6" s="14" t="s">
        <v>3</v>
      </c>
      <c r="D6" s="14" t="s">
        <v>4</v>
      </c>
      <c r="E6" s="15" t="s">
        <v>5</v>
      </c>
      <c r="F6" s="9"/>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row>
    <row r="7" spans="1:699" x14ac:dyDescent="0.2">
      <c r="A7" s="12"/>
      <c r="B7" s="16" t="s">
        <v>6</v>
      </c>
      <c r="C7" s="17">
        <v>42005</v>
      </c>
      <c r="D7" s="18" t="s">
        <v>7</v>
      </c>
      <c r="E7" s="19">
        <v>100</v>
      </c>
      <c r="F7" s="9"/>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row>
    <row r="8" spans="1:699" x14ac:dyDescent="0.2">
      <c r="A8" s="12"/>
      <c r="B8" s="16" t="s">
        <v>8</v>
      </c>
      <c r="C8" s="17">
        <v>42036</v>
      </c>
      <c r="D8" s="18" t="s">
        <v>7</v>
      </c>
      <c r="E8" s="19">
        <v>250</v>
      </c>
      <c r="F8" s="9"/>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row>
    <row r="9" spans="1:699" x14ac:dyDescent="0.2">
      <c r="A9" s="12"/>
      <c r="B9" s="16" t="s">
        <v>8</v>
      </c>
      <c r="C9" s="17">
        <v>42217</v>
      </c>
      <c r="D9" s="18" t="s">
        <v>9</v>
      </c>
      <c r="E9" s="19">
        <v>60</v>
      </c>
      <c r="F9" s="9"/>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row>
    <row r="10" spans="1:699" x14ac:dyDescent="0.2">
      <c r="A10" s="12"/>
      <c r="B10" s="16" t="s">
        <v>8</v>
      </c>
      <c r="C10" s="17">
        <v>42891</v>
      </c>
      <c r="D10" s="18" t="s">
        <v>10</v>
      </c>
      <c r="E10" s="19">
        <v>50</v>
      </c>
      <c r="F10" s="9"/>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row>
    <row r="11" spans="1:699" x14ac:dyDescent="0.2">
      <c r="A11" s="12"/>
      <c r="B11" s="16" t="s">
        <v>11</v>
      </c>
      <c r="C11" s="17">
        <v>42125</v>
      </c>
      <c r="D11" s="18" t="s">
        <v>7</v>
      </c>
      <c r="E11" s="19">
        <v>150</v>
      </c>
      <c r="F11" s="9"/>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row>
    <row r="12" spans="1:699" x14ac:dyDescent="0.2">
      <c r="A12" s="12"/>
      <c r="B12" s="16" t="s">
        <v>11</v>
      </c>
      <c r="C12" s="17">
        <v>42278</v>
      </c>
      <c r="D12" s="18" t="s">
        <v>12</v>
      </c>
      <c r="E12" s="19">
        <v>-150</v>
      </c>
      <c r="F12" s="9"/>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row>
    <row r="13" spans="1:699" x14ac:dyDescent="0.2">
      <c r="A13" s="12"/>
      <c r="B13" s="16" t="s">
        <v>13</v>
      </c>
      <c r="C13" s="17">
        <v>41883</v>
      </c>
      <c r="D13" s="18" t="s">
        <v>7</v>
      </c>
      <c r="E13" s="19">
        <v>175</v>
      </c>
      <c r="F13" s="9"/>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row>
    <row r="14" spans="1:699" x14ac:dyDescent="0.2">
      <c r="A14" s="12"/>
      <c r="B14" s="16" t="s">
        <v>13</v>
      </c>
      <c r="C14" s="17">
        <v>42248</v>
      </c>
      <c r="D14" s="18" t="s">
        <v>14</v>
      </c>
      <c r="E14" s="19">
        <v>200</v>
      </c>
      <c r="F14" s="9"/>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row>
    <row r="15" spans="1:699" x14ac:dyDescent="0.2">
      <c r="A15" s="12"/>
      <c r="B15" s="16" t="s">
        <v>13</v>
      </c>
      <c r="C15" s="17">
        <v>42430</v>
      </c>
      <c r="D15" s="18" t="s">
        <v>9</v>
      </c>
      <c r="E15" s="19">
        <v>80</v>
      </c>
      <c r="F15" s="9"/>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row>
    <row r="16" spans="1:699" ht="15" thickBot="1" x14ac:dyDescent="0.25">
      <c r="A16" s="12"/>
      <c r="B16" s="20" t="s">
        <v>15</v>
      </c>
      <c r="C16" s="21">
        <v>42461</v>
      </c>
      <c r="D16" s="22" t="s">
        <v>7</v>
      </c>
      <c r="E16" s="23">
        <v>75</v>
      </c>
      <c r="F16" s="9"/>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row>
    <row r="17" spans="1:699" x14ac:dyDescent="0.2">
      <c r="A17" s="12"/>
      <c r="B17" s="18"/>
      <c r="C17" s="17"/>
      <c r="D17" s="18"/>
      <c r="E17" s="18"/>
      <c r="F17" s="9"/>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row>
    <row r="18" spans="1:699" x14ac:dyDescent="0.2">
      <c r="A18" s="12"/>
      <c r="B18" s="24" t="s">
        <v>16</v>
      </c>
      <c r="C18" s="24"/>
      <c r="D18" s="24"/>
      <c r="E18" s="24"/>
      <c r="F18" s="2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row>
    <row r="19" spans="1:699" x14ac:dyDescent="0.2">
      <c r="A19" s="12"/>
      <c r="B19" s="26" t="s">
        <v>17</v>
      </c>
      <c r="C19" s="27"/>
      <c r="D19" s="27"/>
      <c r="E19" s="27"/>
      <c r="F19" s="28"/>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row>
    <row r="20" spans="1:699" x14ac:dyDescent="0.2">
      <c r="A20" s="12"/>
      <c r="B20" s="8" t="s">
        <v>18</v>
      </c>
      <c r="C20" s="17"/>
      <c r="D20" s="18"/>
      <c r="E20" s="18"/>
      <c r="F20" s="9"/>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row>
    <row r="21" spans="1:699" x14ac:dyDescent="0.2">
      <c r="A21" s="12"/>
      <c r="B21" s="8"/>
      <c r="C21" s="8"/>
      <c r="D21" s="8"/>
      <c r="E21" s="8"/>
      <c r="F21" s="9"/>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row>
    <row r="22" spans="1:699" x14ac:dyDescent="0.2">
      <c r="A22" s="10">
        <v>0.5</v>
      </c>
      <c r="B22" s="26" t="s">
        <v>19</v>
      </c>
      <c r="C22" s="8"/>
      <c r="D22" s="8"/>
      <c r="E22" s="8"/>
      <c r="F22" s="9"/>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row>
    <row r="23" spans="1:699" x14ac:dyDescent="0.2">
      <c r="A23" s="12"/>
      <c r="B23" s="26" t="s">
        <v>20</v>
      </c>
      <c r="C23" s="8"/>
      <c r="D23" s="8"/>
      <c r="E23" s="8"/>
      <c r="F23" s="9"/>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row>
    <row r="24" spans="1:699" x14ac:dyDescent="0.2">
      <c r="A24" s="12"/>
      <c r="B24" s="8"/>
      <c r="C24" s="8"/>
      <c r="D24" s="8"/>
      <c r="E24" s="8"/>
      <c r="F24" s="9"/>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row>
    <row r="25" spans="1:699" x14ac:dyDescent="0.2">
      <c r="A25" s="10">
        <v>0.75</v>
      </c>
      <c r="B25" s="26" t="s">
        <v>21</v>
      </c>
      <c r="C25" s="8"/>
      <c r="D25" s="8"/>
      <c r="E25" s="8"/>
      <c r="F25" s="9"/>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row>
    <row r="26" spans="1:699" x14ac:dyDescent="0.2">
      <c r="A26" s="12"/>
      <c r="B26" s="8" t="s">
        <v>22</v>
      </c>
      <c r="C26" s="8"/>
      <c r="D26" s="8"/>
      <c r="E26" s="8"/>
      <c r="F26" s="9"/>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row>
    <row r="27" spans="1:699" ht="15" thickBot="1" x14ac:dyDescent="0.25">
      <c r="A27" s="29"/>
      <c r="B27" s="30"/>
      <c r="C27" s="30"/>
      <c r="D27" s="30"/>
      <c r="E27" s="30"/>
      <c r="F27" s="31"/>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row>
    <row r="28" spans="1:699" x14ac:dyDescent="0.2">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row>
    <row r="29" spans="1:699" x14ac:dyDescent="0.2">
      <c r="A29" s="5" t="s">
        <v>19</v>
      </c>
      <c r="B29" s="5" t="s">
        <v>2</v>
      </c>
      <c r="C29" s="5" t="s">
        <v>24</v>
      </c>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row>
    <row r="30" spans="1:699" x14ac:dyDescent="0.2">
      <c r="A30" s="5"/>
      <c r="B30" s="5" t="s">
        <v>6</v>
      </c>
      <c r="C30" s="5">
        <f>E7</f>
        <v>100</v>
      </c>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row>
    <row r="31" spans="1:699" x14ac:dyDescent="0.2">
      <c r="A31" s="5"/>
      <c r="B31" s="5" t="s">
        <v>8</v>
      </c>
      <c r="C31" s="5">
        <f>E8+E9</f>
        <v>310</v>
      </c>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row>
    <row r="32" spans="1:699" x14ac:dyDescent="0.2">
      <c r="A32" s="5"/>
      <c r="B32" s="5" t="s">
        <v>11</v>
      </c>
      <c r="C32" s="5">
        <f>E11</f>
        <v>150</v>
      </c>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row>
    <row r="33" spans="1:699" x14ac:dyDescent="0.2">
      <c r="A33" s="5"/>
      <c r="B33" s="5" t="s">
        <v>13</v>
      </c>
      <c r="C33" s="5">
        <f>E14</f>
        <v>200</v>
      </c>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row>
    <row r="34" spans="1:699" x14ac:dyDescent="0.2">
      <c r="A34" s="5"/>
      <c r="B34" s="5" t="s">
        <v>15</v>
      </c>
      <c r="C34" s="5">
        <f>0</f>
        <v>0</v>
      </c>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row>
    <row r="35" spans="1:699" x14ac:dyDescent="0.2">
      <c r="A35" s="5"/>
      <c r="B35" s="5" t="s">
        <v>25</v>
      </c>
      <c r="C35" s="5">
        <f>SUM(C30:C34)</f>
        <v>760</v>
      </c>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row>
    <row r="36" spans="1:699" x14ac:dyDescent="0.2">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row>
    <row r="37" spans="1:699" x14ac:dyDescent="0.2">
      <c r="A37" s="5" t="s">
        <v>21</v>
      </c>
      <c r="B37" s="5" t="s">
        <v>2</v>
      </c>
      <c r="C37" s="5" t="s">
        <v>26</v>
      </c>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row>
    <row r="38" spans="1:699" x14ac:dyDescent="0.2">
      <c r="A38" s="5"/>
      <c r="B38" s="5" t="s">
        <v>6</v>
      </c>
      <c r="C38" s="5">
        <f>E7</f>
        <v>100</v>
      </c>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row>
    <row r="39" spans="1:699" x14ac:dyDescent="0.2">
      <c r="A39" s="5"/>
      <c r="B39" s="5" t="s">
        <v>8</v>
      </c>
      <c r="C39" s="5">
        <f>E8+E9*(6/12)+E10</f>
        <v>330</v>
      </c>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row>
    <row r="40" spans="1:699" x14ac:dyDescent="0.2">
      <c r="A40" s="5"/>
      <c r="B40" s="5" t="s">
        <v>11</v>
      </c>
      <c r="C40" s="5">
        <f>E11+E12*(7/12)</f>
        <v>62.5</v>
      </c>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row>
    <row r="41" spans="1:699" x14ac:dyDescent="0.2">
      <c r="A41" s="5"/>
      <c r="B41" s="5" t="s">
        <v>13</v>
      </c>
      <c r="C41" s="5">
        <f>E14+E15*(6/12)</f>
        <v>240</v>
      </c>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row>
    <row r="42" spans="1:699" x14ac:dyDescent="0.2">
      <c r="A42" s="5"/>
      <c r="B42" s="5" t="s">
        <v>15</v>
      </c>
      <c r="C42" s="5">
        <v>0</v>
      </c>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row>
    <row r="43" spans="1:699" x14ac:dyDescent="0.2">
      <c r="A43" s="5"/>
      <c r="B43" s="5" t="s">
        <v>25</v>
      </c>
      <c r="C43" s="5">
        <f>SUM(C38:C42)</f>
        <v>732.5</v>
      </c>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row>
    <row r="44" spans="1:699" x14ac:dyDescent="0.2">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row>
    <row r="45" spans="1:699"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row>
    <row r="46" spans="1:699" x14ac:dyDescent="0.2">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row>
    <row r="47" spans="1:699" x14ac:dyDescent="0.2">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row>
    <row r="48" spans="1:699" x14ac:dyDescent="0.2">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row>
    <row r="49" spans="1:699" x14ac:dyDescent="0.2">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row>
    <row r="50" spans="1:699" x14ac:dyDescent="0.2">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row>
    <row r="51" spans="1:699" x14ac:dyDescent="0.2">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row>
    <row r="52" spans="1:699" x14ac:dyDescent="0.2">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row>
    <row r="53" spans="1:699" x14ac:dyDescent="0.2">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row>
    <row r="54" spans="1:699" x14ac:dyDescent="0.2">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row>
    <row r="55" spans="1:699" x14ac:dyDescent="0.2">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row>
    <row r="56" spans="1:699"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row>
    <row r="57" spans="1:699"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row>
    <row r="58" spans="1:699"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row>
    <row r="59" spans="1:699"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row>
    <row r="60" spans="1:699"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row>
    <row r="61" spans="1:699" x14ac:dyDescent="0.2">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row>
    <row r="62" spans="1:699"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row>
    <row r="63" spans="1:699"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row>
    <row r="64" spans="1:699"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row>
    <row r="65" spans="1:699"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row>
    <row r="66" spans="1:699"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row>
    <row r="67" spans="1:699"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row>
    <row r="68" spans="1:699"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row>
    <row r="69" spans="1:699"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row>
    <row r="70" spans="1:699"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row>
    <row r="71" spans="1:699"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row>
    <row r="72" spans="1:699"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row>
    <row r="73" spans="1:699"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row>
    <row r="74" spans="1:699"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row>
    <row r="75" spans="1:699"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row>
    <row r="76" spans="1:699"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row>
    <row r="77" spans="1:699"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row>
    <row r="78" spans="1:699"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row>
    <row r="79" spans="1:699"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row>
    <row r="80" spans="1:699"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row>
    <row r="81" spans="1:699"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row>
    <row r="82" spans="1:699"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row>
    <row r="83" spans="1:699"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row>
    <row r="84" spans="1:699"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row>
    <row r="85" spans="1:699"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row>
    <row r="86" spans="1:699"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row>
    <row r="87" spans="1:699"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row>
    <row r="88" spans="1:699"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row>
    <row r="89" spans="1:699"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row>
    <row r="90" spans="1:699"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row>
    <row r="91" spans="1:699"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row>
    <row r="92" spans="1:699"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row>
    <row r="93" spans="1:699"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row>
    <row r="94" spans="1:699"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row>
    <row r="95" spans="1:699"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row>
    <row r="96" spans="1:699"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row>
    <row r="97" spans="1:699"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row>
    <row r="98" spans="1:699"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row>
    <row r="99" spans="1:699"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row>
    <row r="100" spans="1:699"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row>
    <row r="101" spans="1:699"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row>
    <row r="102" spans="1:699"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row>
    <row r="103" spans="1:699"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row>
    <row r="104" spans="1:699"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row>
    <row r="105" spans="1:699"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row>
    <row r="106" spans="1:699"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row>
    <row r="107" spans="1:699"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row>
    <row r="108" spans="1:699"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row>
    <row r="109" spans="1:699"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row>
    <row r="110" spans="1:699"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row>
    <row r="111" spans="1:699"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row>
    <row r="112" spans="1:699"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row>
    <row r="113" spans="1:699"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row>
    <row r="114" spans="1:699"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row>
    <row r="115" spans="1:699"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row>
    <row r="116" spans="1:699"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row>
    <row r="117" spans="1:699"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row>
    <row r="118" spans="1:699"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row>
    <row r="119" spans="1:699"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row>
    <row r="120" spans="1:699"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row>
    <row r="121" spans="1:699"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row>
    <row r="122" spans="1:699"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row>
    <row r="123" spans="1:699"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row>
    <row r="124" spans="1:699"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row>
    <row r="125" spans="1:699"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row>
    <row r="126" spans="1:699"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row>
    <row r="127" spans="1:699"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row>
    <row r="128" spans="1:699"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row>
    <row r="129" spans="1:699"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row>
    <row r="130" spans="1:699"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row>
    <row r="131" spans="1:699"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row>
    <row r="132" spans="1:699"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row>
    <row r="133" spans="1:699"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row>
    <row r="134" spans="1:699"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row>
    <row r="135" spans="1:699"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row>
    <row r="136" spans="1:699"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row>
    <row r="137" spans="1:699"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row>
    <row r="138" spans="1:699"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row>
    <row r="139" spans="1:699"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row>
    <row r="140" spans="1:699"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row>
    <row r="141" spans="1:699"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row>
    <row r="142" spans="1:699"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row>
    <row r="143" spans="1:699"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row>
    <row r="144" spans="1:699"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row>
    <row r="145" spans="1:699"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row>
    <row r="146" spans="1:699"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row>
    <row r="147" spans="1:699"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row>
    <row r="148" spans="1:699"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row>
    <row r="149" spans="1:699"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row>
    <row r="150" spans="1:699"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row>
    <row r="151" spans="1:699"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row>
    <row r="152" spans="1:699"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row>
    <row r="153" spans="1:699"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row>
    <row r="154" spans="1:699"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row>
    <row r="155" spans="1:699"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row>
    <row r="156" spans="1:699"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row>
    <row r="157" spans="1:699"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row>
    <row r="158" spans="1:699"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row>
    <row r="159" spans="1:699"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row>
    <row r="160" spans="1:699"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row>
    <row r="161" spans="1:699"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row>
    <row r="162" spans="1:699"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row>
    <row r="163" spans="1:699"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row>
    <row r="164" spans="1:699"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row>
    <row r="165" spans="1:699"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row>
    <row r="166" spans="1:699"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row>
    <row r="167" spans="1:699"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row>
    <row r="168" spans="1:699"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row>
    <row r="169" spans="1:699"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row>
    <row r="170" spans="1:699"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row>
    <row r="171" spans="1:699"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row>
    <row r="172" spans="1:699"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row>
    <row r="173" spans="1:699"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row>
    <row r="174" spans="1:699"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row>
    <row r="175" spans="1:699"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row>
    <row r="176" spans="1:699"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row>
    <row r="177" spans="1:699"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row>
    <row r="178" spans="1:699"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row>
    <row r="179" spans="1:699"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row>
    <row r="180" spans="1:699"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row>
    <row r="181" spans="1:699"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row>
    <row r="182" spans="1:699"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row>
    <row r="183" spans="1:699"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row>
    <row r="184" spans="1:699"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row>
    <row r="185" spans="1:699"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row>
    <row r="186" spans="1:699"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row>
    <row r="187" spans="1:699"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row>
    <row r="188" spans="1:699"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row>
    <row r="189" spans="1:699"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row>
    <row r="190" spans="1:699"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row>
    <row r="191" spans="1:699"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row>
    <row r="192" spans="1:699"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row>
    <row r="193" spans="1:699"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row>
    <row r="194" spans="1:699"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row>
    <row r="195" spans="1:699"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row>
    <row r="196" spans="1:699" x14ac:dyDescent="0.2">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row>
    <row r="197" spans="1:699" x14ac:dyDescent="0.2">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row>
    <row r="198" spans="1:699" x14ac:dyDescent="0.2">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row>
    <row r="199" spans="1:699" x14ac:dyDescent="0.2">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row>
    <row r="200" spans="1:699" x14ac:dyDescent="0.2">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Z200"/>
  <sheetViews>
    <sheetView zoomScale="85" zoomScaleNormal="85" zoomScalePageLayoutView="90" workbookViewId="0"/>
  </sheetViews>
  <sheetFormatPr defaultColWidth="0" defaultRowHeight="0" customHeight="1" zeroHeight="1" x14ac:dyDescent="0.2"/>
  <cols>
    <col min="1" max="1" width="10.5" style="329" customWidth="1"/>
    <col min="2" max="2" width="13.75" style="329" customWidth="1"/>
    <col min="3" max="3" width="14.375" style="329" customWidth="1"/>
    <col min="4" max="4" width="16.75" style="329" customWidth="1"/>
    <col min="5" max="5" width="10.625" style="329" customWidth="1"/>
    <col min="6" max="6" width="13.875" style="329" customWidth="1"/>
    <col min="7" max="7" width="13" style="329" customWidth="1"/>
    <col min="8" max="9" width="14.25" style="329" customWidth="1"/>
    <col min="10" max="10" width="9.75" style="329" customWidth="1"/>
    <col min="11" max="11" width="13.375" style="329" customWidth="1"/>
    <col min="12" max="12" width="12.375" style="329" customWidth="1"/>
    <col min="13" max="13" width="8.875" style="329" customWidth="1"/>
    <col min="14" max="14" width="12.125" style="329" customWidth="1"/>
    <col min="15" max="49" width="8.875" style="201" customWidth="1"/>
    <col min="50" max="16384" width="8.875" style="201" hidden="1"/>
  </cols>
  <sheetData>
    <row r="1" spans="1:52" ht="15.75" customHeight="1" thickBot="1" x14ac:dyDescent="0.25">
      <c r="A1" s="330">
        <v>8</v>
      </c>
      <c r="B1" s="331"/>
      <c r="C1" s="332"/>
      <c r="D1" s="332"/>
      <c r="E1" s="332"/>
      <c r="F1" s="332"/>
      <c r="G1" s="332"/>
      <c r="H1" s="332"/>
      <c r="I1" s="332"/>
      <c r="J1" s="332"/>
      <c r="K1" s="332"/>
      <c r="L1" s="332"/>
      <c r="M1" s="332"/>
      <c r="N1" s="332"/>
      <c r="O1" s="333"/>
      <c r="P1" s="334"/>
      <c r="Q1" s="334"/>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row>
    <row r="2" spans="1:52" ht="15.75" customHeight="1" x14ac:dyDescent="0.2">
      <c r="A2" s="335" t="s">
        <v>0</v>
      </c>
      <c r="B2" s="336"/>
      <c r="C2" s="336"/>
      <c r="D2" s="336"/>
      <c r="E2" s="336"/>
      <c r="F2" s="336"/>
      <c r="G2" s="336"/>
      <c r="H2" s="336"/>
      <c r="I2" s="336"/>
      <c r="J2" s="336"/>
      <c r="K2" s="336"/>
      <c r="L2" s="336"/>
      <c r="M2" s="336"/>
      <c r="N2" s="336"/>
      <c r="O2" s="337"/>
      <c r="P2" s="334"/>
      <c r="Q2" s="334"/>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row>
    <row r="3" spans="1:52" ht="15.75" customHeight="1" x14ac:dyDescent="0.2">
      <c r="A3" s="338">
        <v>2</v>
      </c>
      <c r="B3" s="339"/>
      <c r="C3" s="336"/>
      <c r="D3" s="336"/>
      <c r="E3" s="336"/>
      <c r="F3" s="336"/>
      <c r="G3" s="336"/>
      <c r="H3" s="336"/>
      <c r="I3" s="336"/>
      <c r="J3" s="336"/>
      <c r="K3" s="336"/>
      <c r="L3" s="336"/>
      <c r="M3" s="336"/>
      <c r="N3" s="336"/>
      <c r="O3" s="337"/>
      <c r="P3" s="334"/>
      <c r="Q3" s="334"/>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row>
    <row r="4" spans="1:52" ht="15.75" customHeight="1" x14ac:dyDescent="0.2">
      <c r="A4" s="338"/>
      <c r="B4" s="336" t="s">
        <v>305</v>
      </c>
      <c r="C4" s="336"/>
      <c r="D4" s="336"/>
      <c r="E4" s="336"/>
      <c r="F4" s="336"/>
      <c r="G4" s="336"/>
      <c r="H4" s="336"/>
      <c r="I4" s="336"/>
      <c r="J4" s="336"/>
      <c r="K4" s="336"/>
      <c r="L4" s="336"/>
      <c r="M4" s="336"/>
      <c r="N4" s="336"/>
      <c r="O4" s="337"/>
      <c r="P4" s="334"/>
      <c r="Q4" s="334"/>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row>
    <row r="5" spans="1:52" ht="15.75" customHeight="1" x14ac:dyDescent="0.2">
      <c r="A5" s="338"/>
      <c r="B5" s="336" t="s">
        <v>306</v>
      </c>
      <c r="C5" s="336"/>
      <c r="D5" s="336"/>
      <c r="E5" s="336"/>
      <c r="F5" s="336"/>
      <c r="G5" s="336"/>
      <c r="H5" s="336"/>
      <c r="I5" s="336"/>
      <c r="J5" s="336"/>
      <c r="K5" s="336"/>
      <c r="L5" s="336"/>
      <c r="M5" s="336"/>
      <c r="N5" s="336"/>
      <c r="O5" s="337"/>
      <c r="P5" s="334"/>
      <c r="Q5" s="334"/>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row>
    <row r="6" spans="1:52" ht="15.75" customHeight="1" thickBot="1" x14ac:dyDescent="0.25">
      <c r="A6" s="338"/>
      <c r="B6" s="340"/>
      <c r="C6" s="340"/>
      <c r="D6" s="340"/>
      <c r="E6" s="340"/>
      <c r="F6" s="340"/>
      <c r="G6" s="340"/>
      <c r="H6" s="340"/>
      <c r="I6" s="340"/>
      <c r="J6" s="340"/>
      <c r="K6" s="340"/>
      <c r="L6" s="340"/>
      <c r="M6" s="340"/>
      <c r="N6" s="340"/>
      <c r="O6" s="341"/>
      <c r="P6" s="334"/>
      <c r="Q6" s="334"/>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row>
    <row r="7" spans="1:52" ht="15.75" customHeight="1" x14ac:dyDescent="0.2">
      <c r="A7" s="338"/>
      <c r="B7" s="342"/>
      <c r="C7" s="343" t="s">
        <v>307</v>
      </c>
      <c r="D7" s="343"/>
      <c r="E7" s="343" t="s">
        <v>308</v>
      </c>
      <c r="F7" s="343" t="s">
        <v>309</v>
      </c>
      <c r="G7" s="343" t="s">
        <v>309</v>
      </c>
      <c r="H7" s="343"/>
      <c r="I7" s="343"/>
      <c r="J7" s="343"/>
      <c r="K7" s="343"/>
      <c r="L7" s="343"/>
      <c r="M7" s="343"/>
      <c r="N7" s="344"/>
      <c r="O7" s="341"/>
      <c r="P7" s="334"/>
      <c r="Q7" s="334"/>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row>
    <row r="8" spans="1:52" ht="15.75" customHeight="1" x14ac:dyDescent="0.2">
      <c r="A8" s="338"/>
      <c r="B8" s="345"/>
      <c r="C8" s="346" t="s">
        <v>310</v>
      </c>
      <c r="D8" s="346" t="s">
        <v>311</v>
      </c>
      <c r="E8" s="346" t="s">
        <v>312</v>
      </c>
      <c r="F8" s="346" t="s">
        <v>313</v>
      </c>
      <c r="G8" s="346" t="s">
        <v>313</v>
      </c>
      <c r="H8" s="346" t="s">
        <v>314</v>
      </c>
      <c r="I8" s="346" t="s">
        <v>315</v>
      </c>
      <c r="J8" s="346" t="s">
        <v>314</v>
      </c>
      <c r="K8" s="346" t="s">
        <v>316</v>
      </c>
      <c r="L8" s="346" t="s">
        <v>317</v>
      </c>
      <c r="M8" s="346" t="s">
        <v>318</v>
      </c>
      <c r="N8" s="347" t="s">
        <v>319</v>
      </c>
      <c r="O8" s="341"/>
      <c r="P8" s="334"/>
      <c r="Q8" s="334"/>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row>
    <row r="9" spans="1:52" ht="15.75" customHeight="1" thickBot="1" x14ac:dyDescent="0.25">
      <c r="A9" s="338"/>
      <c r="B9" s="348" t="s">
        <v>320</v>
      </c>
      <c r="C9" s="349" t="s">
        <v>321</v>
      </c>
      <c r="D9" s="349" t="s">
        <v>322</v>
      </c>
      <c r="E9" s="349" t="s">
        <v>323</v>
      </c>
      <c r="F9" s="349" t="s">
        <v>324</v>
      </c>
      <c r="G9" s="349" t="s">
        <v>325</v>
      </c>
      <c r="H9" s="349" t="s">
        <v>188</v>
      </c>
      <c r="I9" s="349" t="s">
        <v>318</v>
      </c>
      <c r="J9" s="349" t="s">
        <v>318</v>
      </c>
      <c r="K9" s="350" t="s">
        <v>326</v>
      </c>
      <c r="L9" s="350" t="s">
        <v>326</v>
      </c>
      <c r="M9" s="350" t="s">
        <v>188</v>
      </c>
      <c r="N9" s="351" t="s">
        <v>327</v>
      </c>
      <c r="O9" s="341"/>
      <c r="P9" s="334"/>
      <c r="Q9" s="334"/>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row>
    <row r="10" spans="1:52" ht="15.75" customHeight="1" x14ac:dyDescent="0.2">
      <c r="A10" s="338"/>
      <c r="B10" s="352" t="s">
        <v>6</v>
      </c>
      <c r="C10" s="353">
        <v>1212729</v>
      </c>
      <c r="D10" s="354">
        <v>1.0369999999999999</v>
      </c>
      <c r="E10" s="353">
        <v>1257600</v>
      </c>
      <c r="F10" s="353">
        <v>505300</v>
      </c>
      <c r="G10" s="355">
        <v>0.40200000000000002</v>
      </c>
      <c r="H10" s="355">
        <v>-0.35899999999999999</v>
      </c>
      <c r="I10" s="356">
        <v>1.5</v>
      </c>
      <c r="J10" s="356">
        <v>0.96</v>
      </c>
      <c r="K10" s="356">
        <v>1.93</v>
      </c>
      <c r="L10" s="356">
        <v>1.93</v>
      </c>
      <c r="M10" s="357">
        <v>0.28699999999999998</v>
      </c>
      <c r="N10" s="358">
        <v>-3.5000000000000003E-2</v>
      </c>
      <c r="O10" s="359"/>
      <c r="P10" s="334"/>
      <c r="Q10" s="334"/>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row>
    <row r="11" spans="1:52" ht="15.75" customHeight="1" x14ac:dyDescent="0.2">
      <c r="A11" s="338"/>
      <c r="B11" s="360" t="s">
        <v>8</v>
      </c>
      <c r="C11" s="361">
        <v>995661</v>
      </c>
      <c r="D11" s="362">
        <v>1.0369999999999999</v>
      </c>
      <c r="E11" s="361">
        <v>1032500</v>
      </c>
      <c r="F11" s="361">
        <v>1134500</v>
      </c>
      <c r="G11" s="363">
        <v>1.099</v>
      </c>
      <c r="H11" s="363">
        <v>0.752</v>
      </c>
      <c r="I11" s="364">
        <v>1.25</v>
      </c>
      <c r="J11" s="364">
        <v>2.19</v>
      </c>
      <c r="K11" s="364">
        <v>4.4000000000000004</v>
      </c>
      <c r="L11" s="364">
        <v>2</v>
      </c>
      <c r="M11" s="365">
        <v>0.6</v>
      </c>
      <c r="N11" s="359">
        <v>0.19900000000000001</v>
      </c>
      <c r="O11" s="359"/>
      <c r="P11" s="334"/>
      <c r="Q11" s="334"/>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row>
    <row r="12" spans="1:52" ht="15.75" customHeight="1" x14ac:dyDescent="0.2">
      <c r="A12" s="338"/>
      <c r="B12" s="360" t="s">
        <v>11</v>
      </c>
      <c r="C12" s="361">
        <v>622179</v>
      </c>
      <c r="D12" s="362">
        <v>1.0369999999999999</v>
      </c>
      <c r="E12" s="361">
        <v>645200</v>
      </c>
      <c r="F12" s="361">
        <v>201400</v>
      </c>
      <c r="G12" s="363">
        <v>0.312</v>
      </c>
      <c r="H12" s="363">
        <v>-0.502</v>
      </c>
      <c r="I12" s="364">
        <v>1</v>
      </c>
      <c r="J12" s="364">
        <v>0.5</v>
      </c>
      <c r="K12" s="364">
        <v>1</v>
      </c>
      <c r="L12" s="364">
        <v>1</v>
      </c>
      <c r="M12" s="365">
        <v>0</v>
      </c>
      <c r="N12" s="359">
        <v>-0.25</v>
      </c>
      <c r="O12" s="359"/>
      <c r="P12" s="334"/>
      <c r="Q12" s="334"/>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row>
    <row r="13" spans="1:52" ht="15.75" customHeight="1" thickBot="1" x14ac:dyDescent="0.25">
      <c r="A13" s="338"/>
      <c r="B13" s="366" t="s">
        <v>25</v>
      </c>
      <c r="C13" s="367">
        <v>2830569</v>
      </c>
      <c r="D13" s="368">
        <v>1.0369999999999999</v>
      </c>
      <c r="E13" s="367">
        <v>2935300</v>
      </c>
      <c r="F13" s="367">
        <v>1841200</v>
      </c>
      <c r="G13" s="369">
        <v>0.627</v>
      </c>
      <c r="H13" s="369">
        <v>0</v>
      </c>
      <c r="I13" s="370"/>
      <c r="J13" s="370"/>
      <c r="K13" s="370"/>
      <c r="L13" s="370"/>
      <c r="M13" s="371">
        <v>0.33400000000000002</v>
      </c>
      <c r="N13" s="372">
        <v>0</v>
      </c>
      <c r="O13" s="359"/>
      <c r="P13" s="334"/>
      <c r="Q13" s="334"/>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row>
    <row r="14" spans="1:52" ht="15.75" customHeight="1" x14ac:dyDescent="0.2">
      <c r="A14" s="338"/>
      <c r="B14" s="373"/>
      <c r="C14" s="340"/>
      <c r="D14" s="340"/>
      <c r="E14" s="373"/>
      <c r="F14" s="373"/>
      <c r="G14" s="373"/>
      <c r="H14" s="373"/>
      <c r="I14" s="373"/>
      <c r="J14" s="373"/>
      <c r="K14" s="340"/>
      <c r="L14" s="340"/>
      <c r="M14" s="340"/>
      <c r="N14" s="340"/>
      <c r="O14" s="341"/>
      <c r="P14" s="334"/>
      <c r="Q14" s="334"/>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row>
    <row r="15" spans="1:52" ht="15.75" customHeight="1" x14ac:dyDescent="0.2">
      <c r="A15" s="338"/>
      <c r="B15" s="336" t="s">
        <v>328</v>
      </c>
      <c r="C15" s="340"/>
      <c r="D15" s="340"/>
      <c r="E15" s="340"/>
      <c r="F15" s="340"/>
      <c r="G15" s="340"/>
      <c r="H15" s="340"/>
      <c r="I15" s="340"/>
      <c r="J15" s="340"/>
      <c r="K15" s="340"/>
      <c r="L15" s="340"/>
      <c r="M15" s="340"/>
      <c r="N15" s="340"/>
      <c r="O15" s="341"/>
      <c r="P15" s="334"/>
      <c r="Q15" s="334"/>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row>
    <row r="16" spans="1:52" ht="15.75" customHeight="1" x14ac:dyDescent="0.2">
      <c r="A16" s="338"/>
      <c r="B16" s="336" t="s">
        <v>329</v>
      </c>
      <c r="C16" s="340"/>
      <c r="D16" s="340"/>
      <c r="E16" s="340"/>
      <c r="F16" s="340"/>
      <c r="G16" s="340"/>
      <c r="H16" s="340"/>
      <c r="I16" s="340"/>
      <c r="J16" s="340"/>
      <c r="K16" s="340"/>
      <c r="L16" s="340"/>
      <c r="M16" s="340"/>
      <c r="N16" s="340"/>
      <c r="O16" s="341"/>
      <c r="P16" s="334"/>
      <c r="Q16" s="334"/>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row>
    <row r="17" spans="1:52" ht="15.75" customHeight="1" x14ac:dyDescent="0.2">
      <c r="A17" s="338"/>
      <c r="B17" s="336" t="s">
        <v>330</v>
      </c>
      <c r="C17" s="340"/>
      <c r="D17" s="340"/>
      <c r="E17" s="340"/>
      <c r="F17" s="340"/>
      <c r="G17" s="340"/>
      <c r="H17" s="340"/>
      <c r="I17" s="340"/>
      <c r="J17" s="340"/>
      <c r="K17" s="340"/>
      <c r="L17" s="340"/>
      <c r="M17" s="340"/>
      <c r="N17" s="340"/>
      <c r="O17" s="341"/>
      <c r="P17" s="334"/>
      <c r="Q17" s="334"/>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row>
    <row r="18" spans="1:52" ht="15.75" customHeight="1" x14ac:dyDescent="0.2">
      <c r="A18" s="374"/>
      <c r="B18" s="336" t="s">
        <v>331</v>
      </c>
      <c r="C18" s="340"/>
      <c r="D18" s="340"/>
      <c r="E18" s="340"/>
      <c r="F18" s="340"/>
      <c r="G18" s="340"/>
      <c r="H18" s="340"/>
      <c r="I18" s="340"/>
      <c r="J18" s="340"/>
      <c r="K18" s="340"/>
      <c r="L18" s="340"/>
      <c r="M18" s="340"/>
      <c r="N18" s="340"/>
      <c r="O18" s="341"/>
      <c r="P18" s="334"/>
      <c r="Q18" s="334"/>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row>
    <row r="19" spans="1:52" ht="15.75" customHeight="1" x14ac:dyDescent="0.2">
      <c r="A19" s="338"/>
      <c r="B19" s="336" t="s">
        <v>332</v>
      </c>
      <c r="C19" s="340"/>
      <c r="D19" s="340"/>
      <c r="E19" s="340"/>
      <c r="F19" s="340"/>
      <c r="G19" s="340"/>
      <c r="H19" s="340"/>
      <c r="I19" s="340"/>
      <c r="J19" s="340"/>
      <c r="K19" s="340"/>
      <c r="L19" s="340"/>
      <c r="M19" s="340"/>
      <c r="N19" s="340"/>
      <c r="O19" s="341"/>
      <c r="P19" s="334"/>
      <c r="Q19" s="334"/>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row>
    <row r="20" spans="1:52" ht="15.75" customHeight="1" x14ac:dyDescent="0.2">
      <c r="A20" s="338"/>
      <c r="B20" s="336"/>
      <c r="C20" s="340"/>
      <c r="D20" s="340"/>
      <c r="E20" s="340"/>
      <c r="F20" s="340"/>
      <c r="G20" s="340"/>
      <c r="H20" s="340"/>
      <c r="I20" s="340"/>
      <c r="J20" s="340"/>
      <c r="K20" s="340"/>
      <c r="L20" s="340"/>
      <c r="M20" s="340"/>
      <c r="N20" s="340"/>
      <c r="O20" s="341"/>
      <c r="P20" s="334"/>
      <c r="Q20" s="334"/>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row>
    <row r="21" spans="1:52" ht="15.75" customHeight="1" x14ac:dyDescent="0.2">
      <c r="A21" s="338"/>
      <c r="B21" s="336" t="s">
        <v>333</v>
      </c>
      <c r="C21" s="336"/>
      <c r="D21" s="336"/>
      <c r="E21" s="336"/>
      <c r="F21" s="336"/>
      <c r="G21" s="336"/>
      <c r="H21" s="336"/>
      <c r="I21" s="336"/>
      <c r="J21" s="336"/>
      <c r="K21" s="336"/>
      <c r="L21" s="336"/>
      <c r="M21" s="336"/>
      <c r="N21" s="336"/>
      <c r="O21" s="337"/>
      <c r="P21" s="334"/>
      <c r="Q21" s="334"/>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row>
    <row r="22" spans="1:52" ht="15.75" customHeight="1" thickBot="1" x14ac:dyDescent="0.25">
      <c r="A22" s="375"/>
      <c r="B22" s="376"/>
      <c r="C22" s="377"/>
      <c r="D22" s="377"/>
      <c r="E22" s="377"/>
      <c r="F22" s="377"/>
      <c r="G22" s="377"/>
      <c r="H22" s="377"/>
      <c r="I22" s="377"/>
      <c r="J22" s="377"/>
      <c r="K22" s="377"/>
      <c r="L22" s="377"/>
      <c r="M22" s="377"/>
      <c r="N22" s="377"/>
      <c r="O22" s="378"/>
      <c r="P22" s="334"/>
      <c r="Q22" s="334"/>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row>
    <row r="23" spans="1:52" ht="15.75" customHeight="1" x14ac:dyDescent="0.2">
      <c r="A23" s="379"/>
      <c r="B23" s="334"/>
      <c r="C23" s="334"/>
      <c r="D23" s="334"/>
      <c r="E23" s="334"/>
      <c r="F23" s="334"/>
      <c r="G23" s="334"/>
      <c r="H23" s="334"/>
      <c r="I23" s="334"/>
      <c r="J23" s="334"/>
      <c r="K23" s="334"/>
      <c r="L23" s="334"/>
      <c r="M23" s="334"/>
      <c r="N23" s="334"/>
      <c r="O23" s="334"/>
      <c r="P23" s="334"/>
      <c r="Q23" s="334"/>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row>
    <row r="24" spans="1:52" ht="15.75" customHeight="1" x14ac:dyDescent="0.2">
      <c r="A24" s="379"/>
      <c r="B24" s="380" t="s">
        <v>352</v>
      </c>
      <c r="C24" s="334"/>
      <c r="D24" s="334"/>
      <c r="E24" s="334"/>
      <c r="F24" s="334"/>
      <c r="G24" s="334"/>
      <c r="H24" s="334"/>
      <c r="I24" s="334"/>
      <c r="J24" s="334"/>
      <c r="K24" s="334"/>
      <c r="L24" s="334"/>
      <c r="M24" s="334"/>
      <c r="N24" s="334"/>
      <c r="O24" s="334"/>
      <c r="P24" s="334"/>
      <c r="Q24" s="334"/>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row>
    <row r="25" spans="1:52" ht="15.75" customHeight="1" x14ac:dyDescent="0.2">
      <c r="A25" s="379"/>
      <c r="B25" s="380" t="s">
        <v>353</v>
      </c>
      <c r="C25" s="334"/>
      <c r="D25" s="334"/>
      <c r="E25" s="334"/>
      <c r="F25" s="334"/>
      <c r="G25" s="334"/>
      <c r="H25" s="334"/>
      <c r="I25" s="334"/>
      <c r="J25" s="334"/>
      <c r="K25" s="334"/>
      <c r="L25" s="334"/>
      <c r="M25" s="334"/>
      <c r="N25" s="334"/>
      <c r="O25" s="334"/>
      <c r="P25" s="334"/>
      <c r="Q25" s="334"/>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row>
    <row r="26" spans="1:52" ht="15.75" customHeight="1" x14ac:dyDescent="0.2">
      <c r="A26" s="379"/>
      <c r="B26" s="380" t="s">
        <v>354</v>
      </c>
      <c r="C26" s="334"/>
      <c r="D26" s="334"/>
      <c r="E26" s="334"/>
      <c r="F26" s="334"/>
      <c r="G26" s="334"/>
      <c r="H26" s="334"/>
      <c r="I26" s="334"/>
      <c r="J26" s="334"/>
      <c r="K26" s="334"/>
      <c r="L26" s="334"/>
      <c r="M26" s="334"/>
      <c r="N26" s="334"/>
      <c r="O26" s="334"/>
      <c r="P26" s="334"/>
      <c r="Q26" s="334"/>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row>
    <row r="27" spans="1:52" ht="15.75" customHeight="1" x14ac:dyDescent="0.2">
      <c r="A27" s="379"/>
      <c r="B27" s="380" t="s">
        <v>355</v>
      </c>
      <c r="C27" s="334"/>
      <c r="D27" s="334"/>
      <c r="E27" s="334"/>
      <c r="F27" s="334"/>
      <c r="G27" s="334"/>
      <c r="H27" s="334"/>
      <c r="I27" s="334"/>
      <c r="J27" s="334"/>
      <c r="K27" s="334"/>
      <c r="L27" s="334"/>
      <c r="M27" s="334"/>
      <c r="N27" s="334"/>
      <c r="O27" s="334"/>
      <c r="P27" s="334"/>
      <c r="Q27" s="334"/>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row>
    <row r="28" spans="1:52" ht="15.75" customHeight="1" x14ac:dyDescent="0.2">
      <c r="A28" s="379"/>
      <c r="B28" s="334"/>
      <c r="C28" s="334"/>
      <c r="D28" s="334"/>
      <c r="E28" s="334"/>
      <c r="F28" s="334"/>
      <c r="G28" s="334"/>
      <c r="H28" s="334"/>
      <c r="I28" s="334"/>
      <c r="J28" s="334"/>
      <c r="K28" s="334"/>
      <c r="L28" s="334"/>
      <c r="M28" s="334"/>
      <c r="N28" s="334"/>
      <c r="O28" s="334"/>
      <c r="P28" s="334"/>
      <c r="Q28" s="334"/>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row>
    <row r="29" spans="1:52" ht="15.75" customHeight="1" x14ac:dyDescent="0.2">
      <c r="A29" s="379"/>
      <c r="B29" s="334"/>
      <c r="C29" s="334"/>
      <c r="D29" s="334"/>
      <c r="E29" s="334"/>
      <c r="F29" s="334"/>
      <c r="G29" s="334"/>
      <c r="H29" s="334"/>
      <c r="I29" s="334"/>
      <c r="J29" s="334"/>
      <c r="K29" s="334"/>
      <c r="L29" s="334"/>
      <c r="M29" s="334"/>
      <c r="N29" s="334"/>
      <c r="O29" s="334"/>
      <c r="P29" s="334"/>
      <c r="Q29" s="334"/>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row>
    <row r="30" spans="1:52" ht="15.75" customHeight="1" x14ac:dyDescent="0.2">
      <c r="A30" s="379"/>
      <c r="B30" s="334"/>
      <c r="C30" s="334"/>
      <c r="D30" s="334"/>
      <c r="E30" s="334"/>
      <c r="F30" s="334"/>
      <c r="G30" s="334"/>
      <c r="H30" s="334"/>
      <c r="I30" s="334"/>
      <c r="J30" s="334"/>
      <c r="K30" s="334"/>
      <c r="L30" s="334"/>
      <c r="M30" s="334"/>
      <c r="N30" s="334"/>
      <c r="O30" s="334"/>
      <c r="P30" s="334"/>
      <c r="Q30" s="334"/>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row>
    <row r="31" spans="1:52" ht="15.75" customHeight="1" x14ac:dyDescent="0.2">
      <c r="A31" s="379"/>
      <c r="B31" s="334"/>
      <c r="C31" s="334"/>
      <c r="D31" s="334"/>
      <c r="E31" s="334"/>
      <c r="F31" s="334"/>
      <c r="G31" s="334"/>
      <c r="H31" s="334"/>
      <c r="I31" s="334"/>
      <c r="J31" s="334"/>
      <c r="K31" s="334"/>
      <c r="L31" s="334"/>
      <c r="M31" s="334"/>
      <c r="N31" s="334"/>
      <c r="O31" s="334"/>
      <c r="P31" s="334"/>
      <c r="Q31" s="334"/>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row>
    <row r="32" spans="1:52" ht="15.75" customHeight="1" x14ac:dyDescent="0.2">
      <c r="A32" s="379"/>
      <c r="B32" s="334"/>
      <c r="C32" s="334"/>
      <c r="D32" s="334"/>
      <c r="E32" s="334"/>
      <c r="F32" s="334"/>
      <c r="G32" s="334"/>
      <c r="H32" s="334"/>
      <c r="I32" s="334"/>
      <c r="J32" s="334"/>
      <c r="K32" s="334"/>
      <c r="L32" s="334"/>
      <c r="M32" s="334"/>
      <c r="N32" s="334"/>
      <c r="O32" s="334"/>
      <c r="P32" s="334"/>
      <c r="Q32" s="334"/>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row>
    <row r="33" spans="1:52" ht="15.75" customHeight="1" x14ac:dyDescent="0.2">
      <c r="A33" s="379"/>
      <c r="B33" s="334"/>
      <c r="C33" s="334"/>
      <c r="D33" s="334"/>
      <c r="E33" s="334"/>
      <c r="F33" s="334"/>
      <c r="G33" s="334"/>
      <c r="H33" s="334"/>
      <c r="I33" s="334"/>
      <c r="J33" s="334"/>
      <c r="K33" s="334"/>
      <c r="L33" s="334"/>
      <c r="M33" s="334"/>
      <c r="N33" s="334"/>
      <c r="O33" s="334"/>
      <c r="P33" s="334"/>
      <c r="Q33" s="334"/>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row>
    <row r="34" spans="1:52" ht="15.75" customHeight="1" x14ac:dyDescent="0.2">
      <c r="A34" s="379"/>
      <c r="B34" s="334"/>
      <c r="C34" s="334"/>
      <c r="D34" s="334"/>
      <c r="E34" s="334"/>
      <c r="F34" s="334"/>
      <c r="G34" s="334"/>
      <c r="H34" s="334"/>
      <c r="I34" s="334"/>
      <c r="J34" s="334"/>
      <c r="K34" s="334"/>
      <c r="L34" s="334"/>
      <c r="M34" s="334"/>
      <c r="N34" s="334"/>
      <c r="O34" s="334"/>
      <c r="P34" s="334"/>
      <c r="Q34" s="334"/>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row>
    <row r="35" spans="1:52" ht="15.75" customHeight="1" x14ac:dyDescent="0.2">
      <c r="A35" s="379"/>
      <c r="B35" s="334"/>
      <c r="C35" s="334"/>
      <c r="D35" s="334"/>
      <c r="E35" s="334"/>
      <c r="F35" s="334"/>
      <c r="G35" s="334"/>
      <c r="H35" s="334"/>
      <c r="I35" s="334"/>
      <c r="J35" s="334"/>
      <c r="K35" s="334"/>
      <c r="L35" s="334"/>
      <c r="M35" s="334"/>
      <c r="N35" s="334"/>
      <c r="O35" s="334"/>
      <c r="P35" s="334"/>
      <c r="Q35" s="334"/>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row>
    <row r="36" spans="1:52" ht="15.75" customHeight="1" x14ac:dyDescent="0.2">
      <c r="A36" s="379"/>
      <c r="B36" s="334"/>
      <c r="C36" s="334"/>
      <c r="D36" s="334"/>
      <c r="E36" s="334"/>
      <c r="F36" s="334"/>
      <c r="G36" s="334"/>
      <c r="H36" s="334"/>
      <c r="I36" s="334"/>
      <c r="J36" s="334"/>
      <c r="K36" s="334"/>
      <c r="L36" s="334"/>
      <c r="M36" s="334"/>
      <c r="N36" s="334"/>
      <c r="O36" s="334"/>
      <c r="P36" s="334"/>
      <c r="Q36" s="334"/>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row>
    <row r="37" spans="1:52" ht="15.75" customHeight="1" x14ac:dyDescent="0.2">
      <c r="A37" s="379"/>
      <c r="B37" s="334"/>
      <c r="C37" s="334"/>
      <c r="D37" s="334"/>
      <c r="E37" s="334"/>
      <c r="F37" s="334"/>
      <c r="G37" s="334"/>
      <c r="H37" s="334"/>
      <c r="I37" s="334"/>
      <c r="J37" s="334"/>
      <c r="K37" s="334"/>
      <c r="L37" s="334"/>
      <c r="M37" s="334"/>
      <c r="N37" s="334"/>
      <c r="O37" s="334"/>
      <c r="P37" s="334"/>
      <c r="Q37" s="334"/>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row>
    <row r="38" spans="1:52" ht="15.75" customHeight="1" x14ac:dyDescent="0.2">
      <c r="A38" s="379"/>
      <c r="B38" s="334"/>
      <c r="C38" s="334"/>
      <c r="D38" s="334"/>
      <c r="E38" s="334"/>
      <c r="F38" s="334"/>
      <c r="G38" s="334"/>
      <c r="H38" s="334"/>
      <c r="I38" s="334"/>
      <c r="J38" s="334"/>
      <c r="K38" s="334"/>
      <c r="L38" s="334"/>
      <c r="M38" s="334"/>
      <c r="N38" s="334"/>
      <c r="O38" s="334"/>
      <c r="P38" s="334"/>
      <c r="Q38" s="334"/>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row>
    <row r="39" spans="1:52" ht="15.75" customHeight="1" x14ac:dyDescent="0.2">
      <c r="A39" s="379"/>
      <c r="B39" s="334"/>
      <c r="C39" s="334"/>
      <c r="D39" s="334"/>
      <c r="E39" s="334"/>
      <c r="F39" s="334"/>
      <c r="G39" s="334"/>
      <c r="H39" s="334"/>
      <c r="I39" s="334"/>
      <c r="J39" s="334"/>
      <c r="K39" s="334"/>
      <c r="L39" s="334"/>
      <c r="M39" s="334"/>
      <c r="N39" s="334"/>
      <c r="O39" s="334"/>
      <c r="P39" s="334"/>
      <c r="Q39" s="334"/>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row>
    <row r="40" spans="1:52" ht="15.75" customHeight="1" x14ac:dyDescent="0.2">
      <c r="A40" s="379"/>
      <c r="B40" s="334"/>
      <c r="C40" s="334"/>
      <c r="D40" s="334"/>
      <c r="E40" s="334"/>
      <c r="F40" s="334"/>
      <c r="G40" s="334"/>
      <c r="H40" s="334"/>
      <c r="I40" s="334"/>
      <c r="J40" s="334"/>
      <c r="K40" s="334"/>
      <c r="L40" s="334"/>
      <c r="M40" s="334"/>
      <c r="N40" s="334"/>
      <c r="O40" s="334"/>
      <c r="P40" s="334"/>
      <c r="Q40" s="334"/>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row>
    <row r="41" spans="1:52" ht="15.75" customHeight="1" x14ac:dyDescent="0.2">
      <c r="A41" s="379"/>
      <c r="B41" s="334"/>
      <c r="C41" s="334"/>
      <c r="D41" s="334"/>
      <c r="E41" s="334"/>
      <c r="F41" s="334"/>
      <c r="G41" s="334"/>
      <c r="H41" s="334"/>
      <c r="I41" s="334"/>
      <c r="J41" s="334"/>
      <c r="K41" s="334"/>
      <c r="L41" s="334"/>
      <c r="M41" s="334"/>
      <c r="N41" s="334"/>
      <c r="O41" s="334"/>
      <c r="P41" s="334"/>
      <c r="Q41" s="334"/>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row>
    <row r="42" spans="1:52" ht="15.75" customHeight="1" x14ac:dyDescent="0.2">
      <c r="A42" s="379"/>
      <c r="B42" s="334"/>
      <c r="C42" s="334"/>
      <c r="D42" s="334"/>
      <c r="E42" s="334"/>
      <c r="F42" s="334"/>
      <c r="G42" s="334"/>
      <c r="H42" s="334"/>
      <c r="I42" s="334"/>
      <c r="J42" s="334"/>
      <c r="K42" s="334"/>
      <c r="L42" s="334"/>
      <c r="M42" s="334"/>
      <c r="N42" s="334"/>
      <c r="O42" s="334"/>
      <c r="P42" s="334"/>
      <c r="Q42" s="334"/>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row>
    <row r="43" spans="1:52" ht="15.75" customHeight="1" x14ac:dyDescent="0.2">
      <c r="A43" s="379"/>
      <c r="B43" s="334"/>
      <c r="C43" s="334"/>
      <c r="D43" s="334"/>
      <c r="E43" s="334"/>
      <c r="F43" s="334"/>
      <c r="G43" s="334"/>
      <c r="H43" s="334"/>
      <c r="I43" s="334"/>
      <c r="J43" s="334"/>
      <c r="K43" s="334"/>
      <c r="L43" s="334"/>
      <c r="M43" s="334"/>
      <c r="N43" s="334"/>
      <c r="O43" s="334"/>
      <c r="P43" s="334"/>
      <c r="Q43" s="334"/>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row>
    <row r="44" spans="1:52" ht="15.75" customHeight="1" x14ac:dyDescent="0.2">
      <c r="A44" s="379"/>
      <c r="B44" s="334"/>
      <c r="C44" s="334"/>
      <c r="D44" s="334"/>
      <c r="E44" s="334"/>
      <c r="F44" s="334"/>
      <c r="G44" s="334"/>
      <c r="H44" s="334"/>
      <c r="I44" s="334"/>
      <c r="J44" s="334"/>
      <c r="K44" s="334"/>
      <c r="L44" s="334"/>
      <c r="M44" s="334"/>
      <c r="N44" s="334"/>
      <c r="O44" s="334"/>
      <c r="P44" s="334"/>
      <c r="Q44" s="334"/>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row>
    <row r="45" spans="1:52" ht="15.75" customHeight="1" x14ac:dyDescent="0.2">
      <c r="A45" s="379"/>
      <c r="B45" s="334"/>
      <c r="C45" s="334"/>
      <c r="D45" s="334"/>
      <c r="E45" s="334"/>
      <c r="F45" s="334"/>
      <c r="G45" s="334"/>
      <c r="H45" s="334"/>
      <c r="I45" s="334"/>
      <c r="J45" s="334"/>
      <c r="K45" s="334"/>
      <c r="L45" s="334"/>
      <c r="M45" s="334"/>
      <c r="N45" s="334"/>
      <c r="O45" s="334"/>
      <c r="P45" s="334"/>
      <c r="Q45" s="334"/>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row>
    <row r="46" spans="1:52" ht="15.75" customHeight="1" x14ac:dyDescent="0.2">
      <c r="A46" s="379"/>
      <c r="B46" s="334"/>
      <c r="C46" s="334"/>
      <c r="D46" s="334"/>
      <c r="E46" s="334"/>
      <c r="F46" s="334"/>
      <c r="G46" s="334"/>
      <c r="H46" s="334"/>
      <c r="I46" s="334"/>
      <c r="J46" s="334"/>
      <c r="K46" s="334"/>
      <c r="L46" s="334"/>
      <c r="M46" s="334"/>
      <c r="N46" s="334"/>
      <c r="O46" s="334"/>
      <c r="P46" s="334"/>
      <c r="Q46" s="334"/>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row>
    <row r="47" spans="1:52" ht="15.75" customHeight="1" x14ac:dyDescent="0.2">
      <c r="A47" s="379"/>
      <c r="B47" s="334"/>
      <c r="C47" s="334"/>
      <c r="D47" s="334"/>
      <c r="E47" s="334"/>
      <c r="F47" s="334"/>
      <c r="G47" s="334"/>
      <c r="H47" s="334"/>
      <c r="I47" s="334"/>
      <c r="J47" s="334"/>
      <c r="K47" s="334"/>
      <c r="L47" s="334"/>
      <c r="M47" s="334"/>
      <c r="N47" s="334"/>
      <c r="O47" s="334"/>
      <c r="P47" s="334"/>
      <c r="Q47" s="334"/>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row>
    <row r="48" spans="1:52" ht="15.75" customHeight="1" x14ac:dyDescent="0.2">
      <c r="A48" s="379"/>
      <c r="B48" s="334"/>
      <c r="C48" s="334"/>
      <c r="D48" s="334"/>
      <c r="E48" s="334"/>
      <c r="F48" s="334"/>
      <c r="G48" s="334"/>
      <c r="H48" s="334"/>
      <c r="I48" s="334"/>
      <c r="J48" s="334"/>
      <c r="K48" s="334"/>
      <c r="L48" s="334"/>
      <c r="M48" s="334"/>
      <c r="N48" s="334"/>
      <c r="O48" s="334"/>
      <c r="P48" s="334"/>
      <c r="Q48" s="334"/>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row>
    <row r="49" spans="1:52" ht="15.75" customHeight="1" x14ac:dyDescent="0.2">
      <c r="A49" s="379"/>
      <c r="B49" s="334"/>
      <c r="C49" s="334"/>
      <c r="D49" s="334"/>
      <c r="E49" s="334"/>
      <c r="F49" s="334"/>
      <c r="G49" s="334"/>
      <c r="H49" s="334"/>
      <c r="I49" s="334"/>
      <c r="J49" s="334"/>
      <c r="K49" s="334"/>
      <c r="L49" s="334"/>
      <c r="M49" s="334"/>
      <c r="N49" s="334"/>
      <c r="O49" s="334"/>
      <c r="P49" s="334"/>
      <c r="Q49" s="334"/>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row>
    <row r="50" spans="1:52" ht="15.75" customHeight="1" x14ac:dyDescent="0.2">
      <c r="A50" s="379"/>
      <c r="B50" s="334"/>
      <c r="C50" s="334"/>
      <c r="D50" s="334"/>
      <c r="E50" s="334"/>
      <c r="F50" s="334"/>
      <c r="G50" s="334"/>
      <c r="H50" s="334"/>
      <c r="I50" s="334"/>
      <c r="J50" s="334"/>
      <c r="K50" s="334"/>
      <c r="L50" s="334"/>
      <c r="M50" s="334"/>
      <c r="N50" s="334"/>
      <c r="O50" s="334"/>
      <c r="P50" s="334"/>
      <c r="Q50" s="334"/>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row>
    <row r="51" spans="1:52" ht="15.75" customHeight="1" x14ac:dyDescent="0.2">
      <c r="A51" s="379"/>
      <c r="B51" s="334"/>
      <c r="C51" s="334"/>
      <c r="D51" s="334"/>
      <c r="E51" s="334"/>
      <c r="F51" s="334"/>
      <c r="G51" s="334"/>
      <c r="H51" s="334"/>
      <c r="I51" s="334"/>
      <c r="J51" s="334"/>
      <c r="K51" s="334"/>
      <c r="L51" s="334"/>
      <c r="M51" s="334"/>
      <c r="N51" s="334"/>
      <c r="O51" s="334"/>
      <c r="P51" s="334"/>
      <c r="Q51" s="334"/>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row>
    <row r="52" spans="1:52" ht="15.75" customHeight="1" x14ac:dyDescent="0.2">
      <c r="A52" s="379"/>
      <c r="B52" s="334"/>
      <c r="C52" s="334"/>
      <c r="D52" s="334"/>
      <c r="E52" s="334"/>
      <c r="F52" s="334"/>
      <c r="G52" s="334"/>
      <c r="H52" s="334"/>
      <c r="I52" s="334"/>
      <c r="J52" s="334"/>
      <c r="K52" s="334"/>
      <c r="L52" s="334"/>
      <c r="M52" s="334"/>
      <c r="N52" s="334"/>
      <c r="O52" s="334"/>
      <c r="P52" s="334"/>
      <c r="Q52" s="334"/>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row>
    <row r="53" spans="1:52" ht="15.75" customHeight="1" x14ac:dyDescent="0.2">
      <c r="A53" s="379"/>
      <c r="B53" s="334"/>
      <c r="C53" s="334"/>
      <c r="D53" s="334"/>
      <c r="E53" s="334"/>
      <c r="F53" s="334"/>
      <c r="G53" s="334"/>
      <c r="H53" s="334"/>
      <c r="I53" s="334"/>
      <c r="J53" s="334"/>
      <c r="K53" s="334"/>
      <c r="L53" s="334"/>
      <c r="M53" s="334"/>
      <c r="N53" s="334"/>
      <c r="O53" s="334"/>
      <c r="P53" s="334"/>
      <c r="Q53" s="334"/>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row>
    <row r="54" spans="1:52" ht="15.75" customHeight="1" x14ac:dyDescent="0.2">
      <c r="A54" s="379"/>
      <c r="B54" s="334"/>
      <c r="C54" s="334"/>
      <c r="D54" s="334"/>
      <c r="E54" s="334"/>
      <c r="F54" s="334"/>
      <c r="G54" s="334"/>
      <c r="H54" s="334"/>
      <c r="I54" s="334"/>
      <c r="J54" s="334"/>
      <c r="K54" s="334"/>
      <c r="L54" s="334"/>
      <c r="M54" s="334"/>
      <c r="N54" s="334"/>
      <c r="O54" s="334"/>
      <c r="P54" s="334"/>
      <c r="Q54" s="334"/>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row>
    <row r="55" spans="1:52" ht="15.75" customHeight="1" x14ac:dyDescent="0.2">
      <c r="A55" s="379"/>
      <c r="B55" s="334"/>
      <c r="C55" s="334"/>
      <c r="D55" s="334"/>
      <c r="E55" s="334"/>
      <c r="F55" s="334"/>
      <c r="G55" s="334"/>
      <c r="H55" s="334"/>
      <c r="I55" s="334"/>
      <c r="J55" s="334"/>
      <c r="K55" s="334"/>
      <c r="L55" s="334"/>
      <c r="M55" s="334"/>
      <c r="N55" s="334"/>
      <c r="O55" s="334"/>
      <c r="P55" s="334"/>
      <c r="Q55" s="334"/>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row>
    <row r="56" spans="1:52" ht="15.75" customHeight="1" x14ac:dyDescent="0.2">
      <c r="A56" s="379"/>
      <c r="B56" s="334"/>
      <c r="C56" s="334"/>
      <c r="D56" s="334"/>
      <c r="E56" s="334"/>
      <c r="F56" s="334"/>
      <c r="G56" s="334"/>
      <c r="H56" s="334"/>
      <c r="I56" s="334"/>
      <c r="J56" s="334"/>
      <c r="K56" s="334"/>
      <c r="L56" s="334"/>
      <c r="M56" s="334"/>
      <c r="N56" s="334"/>
      <c r="O56" s="334"/>
      <c r="P56" s="334"/>
      <c r="Q56" s="334"/>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row>
    <row r="57" spans="1:52" ht="15.75" customHeight="1" x14ac:dyDescent="0.2">
      <c r="A57" s="379"/>
      <c r="B57" s="334"/>
      <c r="C57" s="334"/>
      <c r="D57" s="334"/>
      <c r="E57" s="334"/>
      <c r="F57" s="334"/>
      <c r="G57" s="334"/>
      <c r="H57" s="334"/>
      <c r="I57" s="334"/>
      <c r="J57" s="334"/>
      <c r="K57" s="334"/>
      <c r="L57" s="334"/>
      <c r="M57" s="334"/>
      <c r="N57" s="334"/>
      <c r="O57" s="334"/>
      <c r="P57" s="334"/>
      <c r="Q57" s="334"/>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row>
    <row r="58" spans="1:52" ht="15.75" customHeight="1" x14ac:dyDescent="0.2">
      <c r="A58" s="379"/>
      <c r="B58" s="334"/>
      <c r="C58" s="334"/>
      <c r="D58" s="334"/>
      <c r="E58" s="334"/>
      <c r="F58" s="334"/>
      <c r="G58" s="334"/>
      <c r="H58" s="334"/>
      <c r="I58" s="334"/>
      <c r="J58" s="334"/>
      <c r="K58" s="334"/>
      <c r="L58" s="334"/>
      <c r="M58" s="334"/>
      <c r="N58" s="334"/>
      <c r="O58" s="334"/>
      <c r="P58" s="334"/>
      <c r="Q58" s="334"/>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row>
    <row r="59" spans="1:52" ht="15.75" customHeight="1" x14ac:dyDescent="0.2">
      <c r="A59" s="379"/>
      <c r="B59" s="334"/>
      <c r="C59" s="334"/>
      <c r="D59" s="334"/>
      <c r="E59" s="334"/>
      <c r="F59" s="334"/>
      <c r="G59" s="334"/>
      <c r="H59" s="334"/>
      <c r="I59" s="334"/>
      <c r="J59" s="334"/>
      <c r="K59" s="334"/>
      <c r="L59" s="334"/>
      <c r="M59" s="334"/>
      <c r="N59" s="334"/>
      <c r="O59" s="334"/>
      <c r="P59" s="334"/>
      <c r="Q59" s="334"/>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row>
    <row r="60" spans="1:52" ht="15.75" customHeight="1" x14ac:dyDescent="0.2">
      <c r="A60" s="379"/>
      <c r="B60" s="334"/>
      <c r="C60" s="334"/>
      <c r="D60" s="334"/>
      <c r="E60" s="334"/>
      <c r="F60" s="334"/>
      <c r="G60" s="334"/>
      <c r="H60" s="334"/>
      <c r="I60" s="334"/>
      <c r="J60" s="334"/>
      <c r="K60" s="334"/>
      <c r="L60" s="334"/>
      <c r="M60" s="334"/>
      <c r="N60" s="334"/>
      <c r="O60" s="334"/>
      <c r="P60" s="334"/>
      <c r="Q60" s="334"/>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row>
    <row r="61" spans="1:52" ht="15.75" customHeight="1" x14ac:dyDescent="0.2">
      <c r="A61" s="379"/>
      <c r="B61" s="334"/>
      <c r="C61" s="334"/>
      <c r="D61" s="334"/>
      <c r="E61" s="334"/>
      <c r="F61" s="334"/>
      <c r="G61" s="334"/>
      <c r="H61" s="334"/>
      <c r="I61" s="334"/>
      <c r="J61" s="334"/>
      <c r="K61" s="334"/>
      <c r="L61" s="334"/>
      <c r="M61" s="334"/>
      <c r="N61" s="334"/>
      <c r="O61" s="334"/>
      <c r="P61" s="334"/>
      <c r="Q61" s="334"/>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row>
    <row r="62" spans="1:52" ht="15.75" customHeight="1" x14ac:dyDescent="0.2">
      <c r="A62" s="379"/>
      <c r="B62" s="334"/>
      <c r="C62" s="334"/>
      <c r="D62" s="334"/>
      <c r="E62" s="334"/>
      <c r="F62" s="334"/>
      <c r="G62" s="334"/>
      <c r="H62" s="334"/>
      <c r="I62" s="334"/>
      <c r="J62" s="334"/>
      <c r="K62" s="334"/>
      <c r="L62" s="334"/>
      <c r="M62" s="334"/>
      <c r="N62" s="334"/>
      <c r="O62" s="334"/>
      <c r="P62" s="334"/>
      <c r="Q62" s="334"/>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row>
    <row r="63" spans="1:52" ht="15.75" customHeight="1" x14ac:dyDescent="0.2">
      <c r="A63" s="379"/>
      <c r="B63" s="334"/>
      <c r="C63" s="334"/>
      <c r="D63" s="334"/>
      <c r="E63" s="334"/>
      <c r="F63" s="334"/>
      <c r="G63" s="334"/>
      <c r="H63" s="334"/>
      <c r="I63" s="334"/>
      <c r="J63" s="334"/>
      <c r="K63" s="334"/>
      <c r="L63" s="334"/>
      <c r="M63" s="334"/>
      <c r="N63" s="334"/>
      <c r="O63" s="334"/>
      <c r="P63" s="334"/>
      <c r="Q63" s="334"/>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row>
    <row r="64" spans="1:52" ht="15.75" customHeight="1" x14ac:dyDescent="0.2">
      <c r="A64" s="379"/>
      <c r="B64" s="334"/>
      <c r="C64" s="334"/>
      <c r="D64" s="334"/>
      <c r="E64" s="334"/>
      <c r="F64" s="334"/>
      <c r="G64" s="334"/>
      <c r="H64" s="334"/>
      <c r="I64" s="334"/>
      <c r="J64" s="334"/>
      <c r="K64" s="334"/>
      <c r="L64" s="334"/>
      <c r="M64" s="334"/>
      <c r="N64" s="334"/>
      <c r="O64" s="334"/>
      <c r="P64" s="334"/>
      <c r="Q64" s="334"/>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row>
    <row r="65" spans="1:52" ht="15.75" customHeight="1" x14ac:dyDescent="0.2">
      <c r="A65" s="379"/>
      <c r="B65" s="334"/>
      <c r="C65" s="334"/>
      <c r="D65" s="334"/>
      <c r="E65" s="334"/>
      <c r="F65" s="334"/>
      <c r="G65" s="334"/>
      <c r="H65" s="334"/>
      <c r="I65" s="334"/>
      <c r="J65" s="334"/>
      <c r="K65" s="334"/>
      <c r="L65" s="334"/>
      <c r="M65" s="334"/>
      <c r="N65" s="334"/>
      <c r="O65" s="334"/>
      <c r="P65" s="334"/>
      <c r="Q65" s="334"/>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row>
    <row r="66" spans="1:52" ht="15.75" customHeight="1" x14ac:dyDescent="0.2">
      <c r="A66" s="379"/>
      <c r="B66" s="334"/>
      <c r="C66" s="334"/>
      <c r="D66" s="334"/>
      <c r="E66" s="334"/>
      <c r="F66" s="334"/>
      <c r="G66" s="334"/>
      <c r="H66" s="334"/>
      <c r="I66" s="334"/>
      <c r="J66" s="334"/>
      <c r="K66" s="334"/>
      <c r="L66" s="334"/>
      <c r="M66" s="334"/>
      <c r="N66" s="334"/>
      <c r="O66" s="334"/>
      <c r="P66" s="334"/>
      <c r="Q66" s="334"/>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row>
    <row r="67" spans="1:52" ht="15.75" customHeight="1" x14ac:dyDescent="0.2">
      <c r="A67" s="379"/>
      <c r="B67" s="334"/>
      <c r="C67" s="334"/>
      <c r="D67" s="334"/>
      <c r="E67" s="334"/>
      <c r="F67" s="334"/>
      <c r="G67" s="334"/>
      <c r="H67" s="334"/>
      <c r="I67" s="334"/>
      <c r="J67" s="334"/>
      <c r="K67" s="334"/>
      <c r="L67" s="334"/>
      <c r="M67" s="334"/>
      <c r="N67" s="334"/>
      <c r="O67" s="334"/>
      <c r="P67" s="334"/>
      <c r="Q67" s="334"/>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row>
    <row r="68" spans="1:52" ht="15.75" customHeight="1" x14ac:dyDescent="0.2">
      <c r="A68" s="379"/>
      <c r="B68" s="334"/>
      <c r="C68" s="334"/>
      <c r="D68" s="334"/>
      <c r="E68" s="334"/>
      <c r="F68" s="334"/>
      <c r="G68" s="334"/>
      <c r="H68" s="334"/>
      <c r="I68" s="334"/>
      <c r="J68" s="334"/>
      <c r="K68" s="334"/>
      <c r="L68" s="334"/>
      <c r="M68" s="334"/>
      <c r="N68" s="334"/>
      <c r="O68" s="334"/>
      <c r="P68" s="334"/>
      <c r="Q68" s="334"/>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row>
    <row r="69" spans="1:52" ht="15.75" customHeight="1" x14ac:dyDescent="0.2">
      <c r="A69" s="379"/>
      <c r="B69" s="334"/>
      <c r="C69" s="334"/>
      <c r="D69" s="334"/>
      <c r="E69" s="334"/>
      <c r="F69" s="334"/>
      <c r="G69" s="334"/>
      <c r="H69" s="334"/>
      <c r="I69" s="334"/>
      <c r="J69" s="334"/>
      <c r="K69" s="334"/>
      <c r="L69" s="334"/>
      <c r="M69" s="334"/>
      <c r="N69" s="334"/>
      <c r="O69" s="334"/>
      <c r="P69" s="334"/>
      <c r="Q69" s="334"/>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row>
    <row r="70" spans="1:52" ht="15.75" customHeight="1" x14ac:dyDescent="0.2">
      <c r="A70" s="379"/>
      <c r="B70" s="334"/>
      <c r="C70" s="334"/>
      <c r="D70" s="334"/>
      <c r="E70" s="334"/>
      <c r="F70" s="334"/>
      <c r="G70" s="334"/>
      <c r="H70" s="334"/>
      <c r="I70" s="334"/>
      <c r="J70" s="334"/>
      <c r="K70" s="334"/>
      <c r="L70" s="334"/>
      <c r="M70" s="334"/>
      <c r="N70" s="334"/>
      <c r="O70" s="334"/>
      <c r="P70" s="334"/>
      <c r="Q70" s="334"/>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row>
    <row r="71" spans="1:52" ht="15.75" customHeight="1" x14ac:dyDescent="0.2">
      <c r="A71" s="379"/>
      <c r="B71" s="334"/>
      <c r="C71" s="334"/>
      <c r="D71" s="334"/>
      <c r="E71" s="334"/>
      <c r="F71" s="334"/>
      <c r="G71" s="334"/>
      <c r="H71" s="334"/>
      <c r="I71" s="334"/>
      <c r="J71" s="334"/>
      <c r="K71" s="334"/>
      <c r="L71" s="334"/>
      <c r="M71" s="334"/>
      <c r="N71" s="334"/>
      <c r="O71" s="334"/>
      <c r="P71" s="334"/>
      <c r="Q71" s="334"/>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row>
    <row r="72" spans="1:52" ht="15.75" customHeight="1" x14ac:dyDescent="0.2">
      <c r="A72" s="379"/>
      <c r="B72" s="334"/>
      <c r="C72" s="334"/>
      <c r="D72" s="334"/>
      <c r="E72" s="334"/>
      <c r="F72" s="334"/>
      <c r="G72" s="334"/>
      <c r="H72" s="334"/>
      <c r="I72" s="334"/>
      <c r="J72" s="334"/>
      <c r="K72" s="334"/>
      <c r="L72" s="334"/>
      <c r="M72" s="334"/>
      <c r="N72" s="334"/>
      <c r="O72" s="334"/>
      <c r="P72" s="334"/>
      <c r="Q72" s="334"/>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row>
    <row r="73" spans="1:52" ht="15.75" customHeight="1" x14ac:dyDescent="0.2">
      <c r="A73" s="379"/>
      <c r="B73" s="334"/>
      <c r="C73" s="334"/>
      <c r="D73" s="334"/>
      <c r="E73" s="334"/>
      <c r="F73" s="334"/>
      <c r="G73" s="334"/>
      <c r="H73" s="334"/>
      <c r="I73" s="334"/>
      <c r="J73" s="334"/>
      <c r="K73" s="334"/>
      <c r="L73" s="334"/>
      <c r="M73" s="334"/>
      <c r="N73" s="334"/>
      <c r="O73" s="334"/>
      <c r="P73" s="334"/>
      <c r="Q73" s="334"/>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row>
    <row r="74" spans="1:52" ht="15.75" customHeight="1" x14ac:dyDescent="0.2">
      <c r="A74" s="379"/>
      <c r="B74" s="334"/>
      <c r="C74" s="334"/>
      <c r="D74" s="334"/>
      <c r="E74" s="334"/>
      <c r="F74" s="334"/>
      <c r="G74" s="334"/>
      <c r="H74" s="334"/>
      <c r="I74" s="334"/>
      <c r="J74" s="334"/>
      <c r="K74" s="334"/>
      <c r="L74" s="334"/>
      <c r="M74" s="334"/>
      <c r="N74" s="334"/>
      <c r="O74" s="334"/>
      <c r="P74" s="334"/>
      <c r="Q74" s="334"/>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row>
    <row r="75" spans="1:52" ht="15.75" customHeight="1" x14ac:dyDescent="0.2">
      <c r="A75" s="379"/>
      <c r="B75" s="334"/>
      <c r="C75" s="334"/>
      <c r="D75" s="334"/>
      <c r="E75" s="334"/>
      <c r="F75" s="334"/>
      <c r="G75" s="334"/>
      <c r="H75" s="334"/>
      <c r="I75" s="334"/>
      <c r="J75" s="334"/>
      <c r="K75" s="334"/>
      <c r="L75" s="334"/>
      <c r="M75" s="334"/>
      <c r="N75" s="334"/>
      <c r="O75" s="334"/>
      <c r="P75" s="334"/>
      <c r="Q75" s="334"/>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row>
    <row r="76" spans="1:52" ht="15.75" customHeight="1" x14ac:dyDescent="0.2">
      <c r="A76" s="379"/>
      <c r="B76" s="334"/>
      <c r="C76" s="334"/>
      <c r="D76" s="334"/>
      <c r="E76" s="334"/>
      <c r="F76" s="334"/>
      <c r="G76" s="334"/>
      <c r="H76" s="334"/>
      <c r="I76" s="334"/>
      <c r="J76" s="334"/>
      <c r="K76" s="334"/>
      <c r="L76" s="334"/>
      <c r="M76" s="334"/>
      <c r="N76" s="334"/>
      <c r="O76" s="334"/>
      <c r="P76" s="334"/>
      <c r="Q76" s="334"/>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row>
    <row r="77" spans="1:52" ht="15.75" customHeight="1" x14ac:dyDescent="0.2">
      <c r="A77" s="379"/>
      <c r="B77" s="334"/>
      <c r="C77" s="334"/>
      <c r="D77" s="334"/>
      <c r="E77" s="334"/>
      <c r="F77" s="334"/>
      <c r="G77" s="334"/>
      <c r="H77" s="334"/>
      <c r="I77" s="334"/>
      <c r="J77" s="334"/>
      <c r="K77" s="334"/>
      <c r="L77" s="334"/>
      <c r="M77" s="334"/>
      <c r="N77" s="334"/>
      <c r="O77" s="334"/>
      <c r="P77" s="334"/>
      <c r="Q77" s="334"/>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row>
    <row r="78" spans="1:52" ht="15.75" customHeight="1" x14ac:dyDescent="0.2">
      <c r="A78" s="379"/>
      <c r="B78" s="334"/>
      <c r="C78" s="334"/>
      <c r="D78" s="334"/>
      <c r="E78" s="334"/>
      <c r="F78" s="334"/>
      <c r="G78" s="334"/>
      <c r="H78" s="334"/>
      <c r="I78" s="334"/>
      <c r="J78" s="334"/>
      <c r="K78" s="334"/>
      <c r="L78" s="334"/>
      <c r="M78" s="334"/>
      <c r="N78" s="334"/>
      <c r="O78" s="334"/>
      <c r="P78" s="334"/>
      <c r="Q78" s="334"/>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row>
    <row r="79" spans="1:52" ht="15.75" customHeight="1" x14ac:dyDescent="0.2">
      <c r="A79" s="379"/>
      <c r="B79" s="334"/>
      <c r="C79" s="334"/>
      <c r="D79" s="334"/>
      <c r="E79" s="334"/>
      <c r="F79" s="334"/>
      <c r="G79" s="334"/>
      <c r="H79" s="334"/>
      <c r="I79" s="334"/>
      <c r="J79" s="334"/>
      <c r="K79" s="334"/>
      <c r="L79" s="334"/>
      <c r="M79" s="334"/>
      <c r="N79" s="334"/>
      <c r="O79" s="334"/>
      <c r="P79" s="334"/>
      <c r="Q79" s="334"/>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row>
    <row r="80" spans="1:52" ht="15.75" customHeight="1" x14ac:dyDescent="0.2">
      <c r="A80" s="379"/>
      <c r="B80" s="334"/>
      <c r="C80" s="334"/>
      <c r="D80" s="334"/>
      <c r="E80" s="334"/>
      <c r="F80" s="334"/>
      <c r="G80" s="334"/>
      <c r="H80" s="334"/>
      <c r="I80" s="334"/>
      <c r="J80" s="334"/>
      <c r="K80" s="334"/>
      <c r="L80" s="334"/>
      <c r="M80" s="334"/>
      <c r="N80" s="334"/>
      <c r="O80" s="334"/>
      <c r="P80" s="334"/>
      <c r="Q80" s="334"/>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row>
    <row r="81" spans="1:52" ht="15.75" customHeight="1" x14ac:dyDescent="0.2">
      <c r="A81" s="379"/>
      <c r="B81" s="334"/>
      <c r="C81" s="334"/>
      <c r="D81" s="334"/>
      <c r="E81" s="334"/>
      <c r="F81" s="334"/>
      <c r="G81" s="334"/>
      <c r="H81" s="334"/>
      <c r="I81" s="334"/>
      <c r="J81" s="334"/>
      <c r="K81" s="334"/>
      <c r="L81" s="334"/>
      <c r="M81" s="334"/>
      <c r="N81" s="334"/>
      <c r="O81" s="334"/>
      <c r="P81" s="334"/>
      <c r="Q81" s="334"/>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row>
    <row r="82" spans="1:52" ht="15.75" customHeight="1" x14ac:dyDescent="0.2">
      <c r="A82" s="379"/>
      <c r="B82" s="334"/>
      <c r="C82" s="334"/>
      <c r="D82" s="334"/>
      <c r="E82" s="334"/>
      <c r="F82" s="334"/>
      <c r="G82" s="334"/>
      <c r="H82" s="334"/>
      <c r="I82" s="334"/>
      <c r="J82" s="334"/>
      <c r="K82" s="334"/>
      <c r="L82" s="334"/>
      <c r="M82" s="334"/>
      <c r="N82" s="334"/>
      <c r="O82" s="334"/>
      <c r="P82" s="334"/>
      <c r="Q82" s="334"/>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row>
    <row r="83" spans="1:52" ht="15.75" customHeight="1" x14ac:dyDescent="0.2">
      <c r="A83" s="379"/>
      <c r="B83" s="334"/>
      <c r="C83" s="334"/>
      <c r="D83" s="334"/>
      <c r="E83" s="334"/>
      <c r="F83" s="334"/>
      <c r="G83" s="334"/>
      <c r="H83" s="334"/>
      <c r="I83" s="334"/>
      <c r="J83" s="334"/>
      <c r="K83" s="334"/>
      <c r="L83" s="334"/>
      <c r="M83" s="334"/>
      <c r="N83" s="334"/>
      <c r="O83" s="334"/>
      <c r="P83" s="334"/>
      <c r="Q83" s="334"/>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row>
    <row r="84" spans="1:52" ht="15.75" customHeight="1" x14ac:dyDescent="0.2">
      <c r="A84" s="379"/>
      <c r="B84" s="334"/>
      <c r="C84" s="334"/>
      <c r="D84" s="334"/>
      <c r="E84" s="334"/>
      <c r="F84" s="334"/>
      <c r="G84" s="334"/>
      <c r="H84" s="334"/>
      <c r="I84" s="334"/>
      <c r="J84" s="334"/>
      <c r="K84" s="334"/>
      <c r="L84" s="334"/>
      <c r="M84" s="334"/>
      <c r="N84" s="334"/>
      <c r="O84" s="334"/>
      <c r="P84" s="334"/>
      <c r="Q84" s="334"/>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row>
    <row r="85" spans="1:52" ht="15.75" customHeight="1" x14ac:dyDescent="0.2">
      <c r="A85" s="379"/>
      <c r="B85" s="334"/>
      <c r="C85" s="334"/>
      <c r="D85" s="334"/>
      <c r="E85" s="334"/>
      <c r="F85" s="334"/>
      <c r="G85" s="334"/>
      <c r="H85" s="334"/>
      <c r="I85" s="334"/>
      <c r="J85" s="334"/>
      <c r="K85" s="334"/>
      <c r="L85" s="334"/>
      <c r="M85" s="334"/>
      <c r="N85" s="334"/>
      <c r="O85" s="334"/>
      <c r="P85" s="334"/>
      <c r="Q85" s="334"/>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row>
    <row r="86" spans="1:52" ht="15.75" customHeight="1" x14ac:dyDescent="0.2">
      <c r="A86" s="379"/>
      <c r="B86" s="334"/>
      <c r="C86" s="334"/>
      <c r="D86" s="334"/>
      <c r="E86" s="334"/>
      <c r="F86" s="334"/>
      <c r="G86" s="334"/>
      <c r="H86" s="334"/>
      <c r="I86" s="334"/>
      <c r="J86" s="334"/>
      <c r="K86" s="334"/>
      <c r="L86" s="334"/>
      <c r="M86" s="334"/>
      <c r="N86" s="334"/>
      <c r="O86" s="334"/>
      <c r="P86" s="334"/>
      <c r="Q86" s="334"/>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row>
    <row r="87" spans="1:52" ht="15.75" customHeight="1" x14ac:dyDescent="0.2">
      <c r="A87" s="379"/>
      <c r="B87" s="334"/>
      <c r="C87" s="334"/>
      <c r="D87" s="334"/>
      <c r="E87" s="334"/>
      <c r="F87" s="334"/>
      <c r="G87" s="334"/>
      <c r="H87" s="334"/>
      <c r="I87" s="334"/>
      <c r="J87" s="334"/>
      <c r="K87" s="334"/>
      <c r="L87" s="334"/>
      <c r="M87" s="334"/>
      <c r="N87" s="334"/>
      <c r="O87" s="334"/>
      <c r="P87" s="334"/>
      <c r="Q87" s="334"/>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row>
    <row r="88" spans="1:52" ht="15.75" customHeight="1" x14ac:dyDescent="0.2">
      <c r="A88" s="379"/>
      <c r="B88" s="334"/>
      <c r="C88" s="334"/>
      <c r="D88" s="334"/>
      <c r="E88" s="334"/>
      <c r="F88" s="334"/>
      <c r="G88" s="334"/>
      <c r="H88" s="334"/>
      <c r="I88" s="334"/>
      <c r="J88" s="334"/>
      <c r="K88" s="334"/>
      <c r="L88" s="334"/>
      <c r="M88" s="334"/>
      <c r="N88" s="334"/>
      <c r="O88" s="334"/>
      <c r="P88" s="334"/>
      <c r="Q88" s="334"/>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row>
    <row r="89" spans="1:52" ht="15.75" customHeight="1" x14ac:dyDescent="0.2">
      <c r="A89" s="379"/>
      <c r="B89" s="334"/>
      <c r="C89" s="334"/>
      <c r="D89" s="334"/>
      <c r="E89" s="334"/>
      <c r="F89" s="334"/>
      <c r="G89" s="334"/>
      <c r="H89" s="334"/>
      <c r="I89" s="334"/>
      <c r="J89" s="334"/>
      <c r="K89" s="334"/>
      <c r="L89" s="334"/>
      <c r="M89" s="334"/>
      <c r="N89" s="334"/>
      <c r="O89" s="334"/>
      <c r="P89" s="334"/>
      <c r="Q89" s="334"/>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row>
    <row r="90" spans="1:52" ht="15.75" customHeight="1" x14ac:dyDescent="0.2">
      <c r="A90" s="379"/>
      <c r="B90" s="334"/>
      <c r="C90" s="334"/>
      <c r="D90" s="334"/>
      <c r="E90" s="334"/>
      <c r="F90" s="334"/>
      <c r="G90" s="334"/>
      <c r="H90" s="334"/>
      <c r="I90" s="334"/>
      <c r="J90" s="334"/>
      <c r="K90" s="334"/>
      <c r="L90" s="334"/>
      <c r="M90" s="334"/>
      <c r="N90" s="334"/>
      <c r="O90" s="334"/>
      <c r="P90" s="334"/>
      <c r="Q90" s="334"/>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row>
    <row r="91" spans="1:52" ht="15.75" customHeight="1" x14ac:dyDescent="0.2">
      <c r="A91" s="379"/>
      <c r="B91" s="334"/>
      <c r="C91" s="334"/>
      <c r="D91" s="334"/>
      <c r="E91" s="334"/>
      <c r="F91" s="334"/>
      <c r="G91" s="334"/>
      <c r="H91" s="334"/>
      <c r="I91" s="334"/>
      <c r="J91" s="334"/>
      <c r="K91" s="334"/>
      <c r="L91" s="334"/>
      <c r="M91" s="334"/>
      <c r="N91" s="334"/>
      <c r="O91" s="334"/>
      <c r="P91" s="334"/>
      <c r="Q91" s="334"/>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row>
    <row r="92" spans="1:52" ht="15.75" customHeight="1" x14ac:dyDescent="0.2">
      <c r="A92" s="379"/>
      <c r="B92" s="334"/>
      <c r="C92" s="334"/>
      <c r="D92" s="334"/>
      <c r="E92" s="334"/>
      <c r="F92" s="334"/>
      <c r="G92" s="334"/>
      <c r="H92" s="334"/>
      <c r="I92" s="334"/>
      <c r="J92" s="334"/>
      <c r="K92" s="334"/>
      <c r="L92" s="334"/>
      <c r="M92" s="334"/>
      <c r="N92" s="334"/>
      <c r="O92" s="334"/>
      <c r="P92" s="334"/>
      <c r="Q92" s="334"/>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row>
    <row r="93" spans="1:52" ht="15.75" customHeight="1" x14ac:dyDescent="0.2">
      <c r="A93" s="379"/>
      <c r="B93" s="334"/>
      <c r="C93" s="334"/>
      <c r="D93" s="334"/>
      <c r="E93" s="334"/>
      <c r="F93" s="334"/>
      <c r="G93" s="334"/>
      <c r="H93" s="334"/>
      <c r="I93" s="334"/>
      <c r="J93" s="334"/>
      <c r="K93" s="334"/>
      <c r="L93" s="334"/>
      <c r="M93" s="334"/>
      <c r="N93" s="334"/>
      <c r="O93" s="334"/>
      <c r="P93" s="334"/>
      <c r="Q93" s="334"/>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row>
    <row r="94" spans="1:52" ht="15.75" customHeight="1" x14ac:dyDescent="0.2">
      <c r="A94" s="379"/>
      <c r="B94" s="334"/>
      <c r="C94" s="334"/>
      <c r="D94" s="334"/>
      <c r="E94" s="334"/>
      <c r="F94" s="334"/>
      <c r="G94" s="334"/>
      <c r="H94" s="334"/>
      <c r="I94" s="334"/>
      <c r="J94" s="334"/>
      <c r="K94" s="334"/>
      <c r="L94" s="334"/>
      <c r="M94" s="334"/>
      <c r="N94" s="334"/>
      <c r="O94" s="334"/>
      <c r="P94" s="334"/>
      <c r="Q94" s="334"/>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row>
    <row r="95" spans="1:52" ht="15.75" customHeight="1" x14ac:dyDescent="0.2">
      <c r="A95" s="379"/>
      <c r="B95" s="334"/>
      <c r="C95" s="334"/>
      <c r="D95" s="334"/>
      <c r="E95" s="334"/>
      <c r="F95" s="334"/>
      <c r="G95" s="334"/>
      <c r="H95" s="334"/>
      <c r="I95" s="334"/>
      <c r="J95" s="334"/>
      <c r="K95" s="334"/>
      <c r="L95" s="334"/>
      <c r="M95" s="334"/>
      <c r="N95" s="334"/>
      <c r="O95" s="334"/>
      <c r="P95" s="334"/>
      <c r="Q95" s="334"/>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row>
    <row r="96" spans="1:52" ht="15.75" customHeight="1" x14ac:dyDescent="0.2">
      <c r="A96" s="379"/>
      <c r="B96" s="334"/>
      <c r="C96" s="334"/>
      <c r="D96" s="334"/>
      <c r="E96" s="334"/>
      <c r="F96" s="334"/>
      <c r="G96" s="334"/>
      <c r="H96" s="334"/>
      <c r="I96" s="334"/>
      <c r="J96" s="334"/>
      <c r="K96" s="334"/>
      <c r="L96" s="334"/>
      <c r="M96" s="334"/>
      <c r="N96" s="334"/>
      <c r="O96" s="334"/>
      <c r="P96" s="334"/>
      <c r="Q96" s="334"/>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row>
    <row r="97" spans="1:52" ht="15.75" customHeight="1" x14ac:dyDescent="0.2">
      <c r="A97" s="379"/>
      <c r="B97" s="334"/>
      <c r="C97" s="334"/>
      <c r="D97" s="334"/>
      <c r="E97" s="334"/>
      <c r="F97" s="334"/>
      <c r="G97" s="334"/>
      <c r="H97" s="334"/>
      <c r="I97" s="334"/>
      <c r="J97" s="334"/>
      <c r="K97" s="334"/>
      <c r="L97" s="334"/>
      <c r="M97" s="334"/>
      <c r="N97" s="334"/>
      <c r="O97" s="334"/>
      <c r="P97" s="334"/>
      <c r="Q97" s="334"/>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row>
    <row r="98" spans="1:52" ht="15.75" customHeight="1" x14ac:dyDescent="0.2">
      <c r="A98" s="379"/>
      <c r="B98" s="334"/>
      <c r="C98" s="334"/>
      <c r="D98" s="334"/>
      <c r="E98" s="334"/>
      <c r="F98" s="334"/>
      <c r="G98" s="334"/>
      <c r="H98" s="334"/>
      <c r="I98" s="334"/>
      <c r="J98" s="334"/>
      <c r="K98" s="334"/>
      <c r="L98" s="334"/>
      <c r="M98" s="334"/>
      <c r="N98" s="334"/>
      <c r="O98" s="334"/>
      <c r="P98" s="334"/>
      <c r="Q98" s="334"/>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row>
    <row r="99" spans="1:52" ht="15.75" customHeight="1" x14ac:dyDescent="0.2">
      <c r="A99" s="379"/>
      <c r="B99" s="334"/>
      <c r="C99" s="334"/>
      <c r="D99" s="334"/>
      <c r="E99" s="334"/>
      <c r="F99" s="334"/>
      <c r="G99" s="334"/>
      <c r="H99" s="334"/>
      <c r="I99" s="334"/>
      <c r="J99" s="334"/>
      <c r="K99" s="334"/>
      <c r="L99" s="334"/>
      <c r="M99" s="334"/>
      <c r="N99" s="334"/>
      <c r="O99" s="334"/>
      <c r="P99" s="334"/>
      <c r="Q99" s="334"/>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row>
    <row r="100" spans="1:52" ht="15.75" customHeight="1" x14ac:dyDescent="0.2">
      <c r="A100" s="379"/>
      <c r="B100" s="334"/>
      <c r="C100" s="334"/>
      <c r="D100" s="334"/>
      <c r="E100" s="334"/>
      <c r="F100" s="334"/>
      <c r="G100" s="334"/>
      <c r="H100" s="334"/>
      <c r="I100" s="334"/>
      <c r="J100" s="334"/>
      <c r="K100" s="334"/>
      <c r="L100" s="334"/>
      <c r="M100" s="334"/>
      <c r="N100" s="334"/>
      <c r="O100" s="334"/>
      <c r="P100" s="334"/>
      <c r="Q100" s="334"/>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row>
    <row r="101" spans="1:52" ht="15.75" customHeight="1" x14ac:dyDescent="0.2">
      <c r="A101" s="379"/>
      <c r="B101" s="334"/>
      <c r="C101" s="334"/>
      <c r="D101" s="334"/>
      <c r="E101" s="334"/>
      <c r="F101" s="334"/>
      <c r="G101" s="334"/>
      <c r="H101" s="334"/>
      <c r="I101" s="334"/>
      <c r="J101" s="334"/>
      <c r="K101" s="334"/>
      <c r="L101" s="334"/>
      <c r="M101" s="334"/>
      <c r="N101" s="334"/>
      <c r="O101" s="334"/>
      <c r="P101" s="334"/>
      <c r="Q101" s="334"/>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row>
    <row r="102" spans="1:52" ht="15.75" customHeight="1" x14ac:dyDescent="0.2">
      <c r="A102" s="379"/>
      <c r="B102" s="334"/>
      <c r="C102" s="334"/>
      <c r="D102" s="334"/>
      <c r="E102" s="334"/>
      <c r="F102" s="334"/>
      <c r="G102" s="334"/>
      <c r="H102" s="334"/>
      <c r="I102" s="334"/>
      <c r="J102" s="334"/>
      <c r="K102" s="334"/>
      <c r="L102" s="334"/>
      <c r="M102" s="334"/>
      <c r="N102" s="334"/>
      <c r="O102" s="334"/>
      <c r="P102" s="334"/>
      <c r="Q102" s="334"/>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row>
    <row r="103" spans="1:52" ht="15.75" customHeight="1" x14ac:dyDescent="0.2">
      <c r="A103" s="379"/>
      <c r="B103" s="334"/>
      <c r="C103" s="334"/>
      <c r="D103" s="334"/>
      <c r="E103" s="334"/>
      <c r="F103" s="334"/>
      <c r="G103" s="334"/>
      <c r="H103" s="334"/>
      <c r="I103" s="334"/>
      <c r="J103" s="334"/>
      <c r="K103" s="334"/>
      <c r="L103" s="334"/>
      <c r="M103" s="334"/>
      <c r="N103" s="334"/>
      <c r="O103" s="334"/>
      <c r="P103" s="334"/>
      <c r="Q103" s="334"/>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row>
    <row r="104" spans="1:52" ht="15.75" customHeight="1" x14ac:dyDescent="0.2">
      <c r="A104" s="379"/>
      <c r="B104" s="334"/>
      <c r="C104" s="334"/>
      <c r="D104" s="334"/>
      <c r="E104" s="334"/>
      <c r="F104" s="334"/>
      <c r="G104" s="334"/>
      <c r="H104" s="334"/>
      <c r="I104" s="334"/>
      <c r="J104" s="334"/>
      <c r="K104" s="334"/>
      <c r="L104" s="334"/>
      <c r="M104" s="334"/>
      <c r="N104" s="334"/>
      <c r="O104" s="334"/>
      <c r="P104" s="334"/>
      <c r="Q104" s="334"/>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row>
    <row r="105" spans="1:52" ht="15.75" customHeight="1" x14ac:dyDescent="0.2">
      <c r="A105" s="379"/>
      <c r="B105" s="334"/>
      <c r="C105" s="334"/>
      <c r="D105" s="334"/>
      <c r="E105" s="334"/>
      <c r="F105" s="334"/>
      <c r="G105" s="334"/>
      <c r="H105" s="334"/>
      <c r="I105" s="334"/>
      <c r="J105" s="334"/>
      <c r="K105" s="334"/>
      <c r="L105" s="334"/>
      <c r="M105" s="334"/>
      <c r="N105" s="334"/>
      <c r="O105" s="334"/>
      <c r="P105" s="334"/>
      <c r="Q105" s="334"/>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row>
    <row r="106" spans="1:52" ht="15.75" customHeight="1" x14ac:dyDescent="0.2">
      <c r="A106" s="379"/>
      <c r="B106" s="334"/>
      <c r="C106" s="334"/>
      <c r="D106" s="334"/>
      <c r="E106" s="334"/>
      <c r="F106" s="334"/>
      <c r="G106" s="334"/>
      <c r="H106" s="334"/>
      <c r="I106" s="334"/>
      <c r="J106" s="334"/>
      <c r="K106" s="334"/>
      <c r="L106" s="334"/>
      <c r="M106" s="334"/>
      <c r="N106" s="334"/>
      <c r="O106" s="334"/>
      <c r="P106" s="334"/>
      <c r="Q106" s="334"/>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row>
    <row r="107" spans="1:52" ht="15.75" customHeight="1" x14ac:dyDescent="0.2">
      <c r="A107" s="379"/>
      <c r="B107" s="334"/>
      <c r="C107" s="334"/>
      <c r="D107" s="334"/>
      <c r="E107" s="334"/>
      <c r="F107" s="334"/>
      <c r="G107" s="334"/>
      <c r="H107" s="334"/>
      <c r="I107" s="334"/>
      <c r="J107" s="334"/>
      <c r="K107" s="334"/>
      <c r="L107" s="334"/>
      <c r="M107" s="334"/>
      <c r="N107" s="334"/>
      <c r="O107" s="334"/>
      <c r="P107" s="334"/>
      <c r="Q107" s="334"/>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row>
    <row r="108" spans="1:52" ht="15.75" customHeight="1" x14ac:dyDescent="0.2">
      <c r="A108" s="379"/>
      <c r="B108" s="334"/>
      <c r="C108" s="334"/>
      <c r="D108" s="334"/>
      <c r="E108" s="334"/>
      <c r="F108" s="334"/>
      <c r="G108" s="334"/>
      <c r="H108" s="334"/>
      <c r="I108" s="334"/>
      <c r="J108" s="334"/>
      <c r="K108" s="334"/>
      <c r="L108" s="334"/>
      <c r="M108" s="334"/>
      <c r="N108" s="334"/>
      <c r="O108" s="334"/>
      <c r="P108" s="334"/>
      <c r="Q108" s="334"/>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row>
    <row r="109" spans="1:52" ht="15.75" customHeight="1" x14ac:dyDescent="0.2">
      <c r="A109" s="379"/>
      <c r="B109" s="334"/>
      <c r="C109" s="334"/>
      <c r="D109" s="334"/>
      <c r="E109" s="334"/>
      <c r="F109" s="334"/>
      <c r="G109" s="334"/>
      <c r="H109" s="334"/>
      <c r="I109" s="334"/>
      <c r="J109" s="334"/>
      <c r="K109" s="334"/>
      <c r="L109" s="334"/>
      <c r="M109" s="334"/>
      <c r="N109" s="334"/>
      <c r="O109" s="334"/>
      <c r="P109" s="334"/>
      <c r="Q109" s="334"/>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row>
    <row r="110" spans="1:52" ht="15.75" customHeight="1" x14ac:dyDescent="0.2">
      <c r="A110" s="379"/>
      <c r="B110" s="334"/>
      <c r="C110" s="334"/>
      <c r="D110" s="334"/>
      <c r="E110" s="334"/>
      <c r="F110" s="334"/>
      <c r="G110" s="334"/>
      <c r="H110" s="334"/>
      <c r="I110" s="334"/>
      <c r="J110" s="334"/>
      <c r="K110" s="334"/>
      <c r="L110" s="334"/>
      <c r="M110" s="334"/>
      <c r="N110" s="334"/>
      <c r="O110" s="334"/>
      <c r="P110" s="334"/>
      <c r="Q110" s="334"/>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row>
    <row r="111" spans="1:52" ht="15.75" customHeight="1" x14ac:dyDescent="0.2">
      <c r="A111" s="379"/>
      <c r="B111" s="334"/>
      <c r="C111" s="334"/>
      <c r="D111" s="334"/>
      <c r="E111" s="334"/>
      <c r="F111" s="334"/>
      <c r="G111" s="334"/>
      <c r="H111" s="334"/>
      <c r="I111" s="334"/>
      <c r="J111" s="334"/>
      <c r="K111" s="334"/>
      <c r="L111" s="334"/>
      <c r="M111" s="334"/>
      <c r="N111" s="334"/>
      <c r="O111" s="334"/>
      <c r="P111" s="334"/>
      <c r="Q111" s="334"/>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row>
    <row r="112" spans="1:52" ht="15.75" customHeight="1" x14ac:dyDescent="0.2">
      <c r="A112" s="379"/>
      <c r="B112" s="334"/>
      <c r="C112" s="334"/>
      <c r="D112" s="334"/>
      <c r="E112" s="334"/>
      <c r="F112" s="334"/>
      <c r="G112" s="334"/>
      <c r="H112" s="334"/>
      <c r="I112" s="334"/>
      <c r="J112" s="334"/>
      <c r="K112" s="334"/>
      <c r="L112" s="334"/>
      <c r="M112" s="334"/>
      <c r="N112" s="334"/>
      <c r="O112" s="334"/>
      <c r="P112" s="334"/>
      <c r="Q112" s="334"/>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row>
    <row r="113" spans="1:52" ht="15.75" customHeight="1" x14ac:dyDescent="0.2">
      <c r="A113" s="379"/>
      <c r="B113" s="334"/>
      <c r="C113" s="334"/>
      <c r="D113" s="334"/>
      <c r="E113" s="334"/>
      <c r="F113" s="334"/>
      <c r="G113" s="334"/>
      <c r="H113" s="334"/>
      <c r="I113" s="334"/>
      <c r="J113" s="334"/>
      <c r="K113" s="334"/>
      <c r="L113" s="334"/>
      <c r="M113" s="334"/>
      <c r="N113" s="334"/>
      <c r="O113" s="334"/>
      <c r="P113" s="334"/>
      <c r="Q113" s="334"/>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row>
    <row r="114" spans="1:52" ht="15.75" customHeight="1" x14ac:dyDescent="0.2">
      <c r="A114" s="379"/>
      <c r="B114" s="334"/>
      <c r="C114" s="334"/>
      <c r="D114" s="334"/>
      <c r="E114" s="334"/>
      <c r="F114" s="334"/>
      <c r="G114" s="334"/>
      <c r="H114" s="334"/>
      <c r="I114" s="334"/>
      <c r="J114" s="334"/>
      <c r="K114" s="334"/>
      <c r="L114" s="334"/>
      <c r="M114" s="334"/>
      <c r="N114" s="334"/>
      <c r="O114" s="334"/>
      <c r="P114" s="334"/>
      <c r="Q114" s="334"/>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row>
    <row r="115" spans="1:52" ht="15.75" customHeight="1" x14ac:dyDescent="0.2">
      <c r="A115" s="379"/>
      <c r="B115" s="334"/>
      <c r="C115" s="334"/>
      <c r="D115" s="334"/>
      <c r="E115" s="334"/>
      <c r="F115" s="334"/>
      <c r="G115" s="334"/>
      <c r="H115" s="334"/>
      <c r="I115" s="334"/>
      <c r="J115" s="334"/>
      <c r="K115" s="334"/>
      <c r="L115" s="334"/>
      <c r="M115" s="334"/>
      <c r="N115" s="334"/>
      <c r="O115" s="334"/>
      <c r="P115" s="334"/>
      <c r="Q115" s="334"/>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row>
    <row r="116" spans="1:52" ht="15.75" customHeight="1" x14ac:dyDescent="0.2">
      <c r="A116" s="379"/>
      <c r="B116" s="334"/>
      <c r="C116" s="334"/>
      <c r="D116" s="334"/>
      <c r="E116" s="334"/>
      <c r="F116" s="334"/>
      <c r="G116" s="334"/>
      <c r="H116" s="334"/>
      <c r="I116" s="334"/>
      <c r="J116" s="334"/>
      <c r="K116" s="334"/>
      <c r="L116" s="334"/>
      <c r="M116" s="334"/>
      <c r="N116" s="334"/>
      <c r="O116" s="334"/>
      <c r="P116" s="334"/>
      <c r="Q116" s="334"/>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row>
    <row r="117" spans="1:52" ht="15.75" customHeight="1" x14ac:dyDescent="0.2">
      <c r="A117" s="379"/>
      <c r="B117" s="334"/>
      <c r="C117" s="334"/>
      <c r="D117" s="334"/>
      <c r="E117" s="334"/>
      <c r="F117" s="334"/>
      <c r="G117" s="334"/>
      <c r="H117" s="334"/>
      <c r="I117" s="334"/>
      <c r="J117" s="334"/>
      <c r="K117" s="334"/>
      <c r="L117" s="334"/>
      <c r="M117" s="334"/>
      <c r="N117" s="334"/>
      <c r="O117" s="334"/>
      <c r="P117" s="334"/>
      <c r="Q117" s="334"/>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row>
    <row r="118" spans="1:52" ht="15.75" customHeight="1" x14ac:dyDescent="0.2">
      <c r="A118" s="379"/>
      <c r="B118" s="334"/>
      <c r="C118" s="334"/>
      <c r="D118" s="334"/>
      <c r="E118" s="334"/>
      <c r="F118" s="334"/>
      <c r="G118" s="334"/>
      <c r="H118" s="334"/>
      <c r="I118" s="334"/>
      <c r="J118" s="334"/>
      <c r="K118" s="334"/>
      <c r="L118" s="334"/>
      <c r="M118" s="334"/>
      <c r="N118" s="334"/>
      <c r="O118" s="334"/>
      <c r="P118" s="334"/>
      <c r="Q118" s="334"/>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row>
    <row r="119" spans="1:52" ht="15.75" customHeight="1" x14ac:dyDescent="0.2">
      <c r="A119" s="379"/>
      <c r="B119" s="334"/>
      <c r="C119" s="334"/>
      <c r="D119" s="334"/>
      <c r="E119" s="334"/>
      <c r="F119" s="334"/>
      <c r="G119" s="334"/>
      <c r="H119" s="334"/>
      <c r="I119" s="334"/>
      <c r="J119" s="334"/>
      <c r="K119" s="334"/>
      <c r="L119" s="334"/>
      <c r="M119" s="334"/>
      <c r="N119" s="334"/>
      <c r="O119" s="334"/>
      <c r="P119" s="334"/>
      <c r="Q119" s="334"/>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row>
    <row r="120" spans="1:52" ht="15.75" customHeight="1" x14ac:dyDescent="0.2">
      <c r="A120" s="379"/>
      <c r="B120" s="334"/>
      <c r="C120" s="334"/>
      <c r="D120" s="334"/>
      <c r="E120" s="334"/>
      <c r="F120" s="334"/>
      <c r="G120" s="334"/>
      <c r="H120" s="334"/>
      <c r="I120" s="334"/>
      <c r="J120" s="334"/>
      <c r="K120" s="334"/>
      <c r="L120" s="334"/>
      <c r="M120" s="334"/>
      <c r="N120" s="334"/>
      <c r="O120" s="334"/>
      <c r="P120" s="334"/>
      <c r="Q120" s="334"/>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row>
    <row r="121" spans="1:52" ht="15.75" customHeight="1" x14ac:dyDescent="0.2">
      <c r="A121" s="379"/>
      <c r="B121" s="334"/>
      <c r="C121" s="334"/>
      <c r="D121" s="334"/>
      <c r="E121" s="334"/>
      <c r="F121" s="334"/>
      <c r="G121" s="334"/>
      <c r="H121" s="334"/>
      <c r="I121" s="334"/>
      <c r="J121" s="334"/>
      <c r="K121" s="334"/>
      <c r="L121" s="334"/>
      <c r="M121" s="334"/>
      <c r="N121" s="334"/>
      <c r="O121" s="334"/>
      <c r="P121" s="334"/>
      <c r="Q121" s="334"/>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row>
    <row r="122" spans="1:52" ht="15.75" customHeight="1" x14ac:dyDescent="0.2">
      <c r="A122" s="379"/>
      <c r="B122" s="334"/>
      <c r="C122" s="334"/>
      <c r="D122" s="334"/>
      <c r="E122" s="334"/>
      <c r="F122" s="334"/>
      <c r="G122" s="334"/>
      <c r="H122" s="334"/>
      <c r="I122" s="334"/>
      <c r="J122" s="334"/>
      <c r="K122" s="334"/>
      <c r="L122" s="334"/>
      <c r="M122" s="334"/>
      <c r="N122" s="334"/>
      <c r="O122" s="334"/>
      <c r="P122" s="334"/>
      <c r="Q122" s="334"/>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row>
    <row r="123" spans="1:52" ht="15.75" customHeight="1" x14ac:dyDescent="0.2">
      <c r="A123" s="379"/>
      <c r="B123" s="334"/>
      <c r="C123" s="334"/>
      <c r="D123" s="334"/>
      <c r="E123" s="334"/>
      <c r="F123" s="334"/>
      <c r="G123" s="334"/>
      <c r="H123" s="334"/>
      <c r="I123" s="334"/>
      <c r="J123" s="334"/>
      <c r="K123" s="334"/>
      <c r="L123" s="334"/>
      <c r="M123" s="334"/>
      <c r="N123" s="334"/>
      <c r="O123" s="334"/>
      <c r="P123" s="334"/>
      <c r="Q123" s="334"/>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row>
    <row r="124" spans="1:52" ht="15.75" customHeight="1" x14ac:dyDescent="0.2">
      <c r="A124" s="379"/>
      <c r="B124" s="334"/>
      <c r="C124" s="334"/>
      <c r="D124" s="334"/>
      <c r="E124" s="334"/>
      <c r="F124" s="334"/>
      <c r="G124" s="334"/>
      <c r="H124" s="334"/>
      <c r="I124" s="334"/>
      <c r="J124" s="334"/>
      <c r="K124" s="334"/>
      <c r="L124" s="334"/>
      <c r="M124" s="334"/>
      <c r="N124" s="334"/>
      <c r="O124" s="334"/>
      <c r="P124" s="334"/>
      <c r="Q124" s="334"/>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row>
    <row r="125" spans="1:52" ht="15.75" customHeight="1" x14ac:dyDescent="0.2">
      <c r="A125" s="379"/>
      <c r="B125" s="334"/>
      <c r="C125" s="334"/>
      <c r="D125" s="334"/>
      <c r="E125" s="334"/>
      <c r="F125" s="334"/>
      <c r="G125" s="334"/>
      <c r="H125" s="334"/>
      <c r="I125" s="334"/>
      <c r="J125" s="334"/>
      <c r="K125" s="334"/>
      <c r="L125" s="334"/>
      <c r="M125" s="334"/>
      <c r="N125" s="334"/>
      <c r="O125" s="334"/>
      <c r="P125" s="334"/>
      <c r="Q125" s="334"/>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row>
    <row r="126" spans="1:52" ht="15.75" customHeight="1" x14ac:dyDescent="0.2">
      <c r="A126" s="379"/>
      <c r="B126" s="334"/>
      <c r="C126" s="334"/>
      <c r="D126" s="334"/>
      <c r="E126" s="334"/>
      <c r="F126" s="334"/>
      <c r="G126" s="334"/>
      <c r="H126" s="334"/>
      <c r="I126" s="334"/>
      <c r="J126" s="334"/>
      <c r="K126" s="334"/>
      <c r="L126" s="334"/>
      <c r="M126" s="334"/>
      <c r="N126" s="334"/>
      <c r="O126" s="334"/>
      <c r="P126" s="334"/>
      <c r="Q126" s="334"/>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row>
    <row r="127" spans="1:52" ht="15.75" customHeight="1" x14ac:dyDescent="0.2">
      <c r="A127" s="379"/>
      <c r="B127" s="334"/>
      <c r="C127" s="334"/>
      <c r="D127" s="334"/>
      <c r="E127" s="334"/>
      <c r="F127" s="334"/>
      <c r="G127" s="334"/>
      <c r="H127" s="334"/>
      <c r="I127" s="334"/>
      <c r="J127" s="334"/>
      <c r="K127" s="334"/>
      <c r="L127" s="334"/>
      <c r="M127" s="334"/>
      <c r="N127" s="334"/>
      <c r="O127" s="334"/>
      <c r="P127" s="334"/>
      <c r="Q127" s="334"/>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row>
    <row r="128" spans="1:52" ht="15.75" customHeight="1" x14ac:dyDescent="0.2">
      <c r="A128" s="379"/>
      <c r="B128" s="334"/>
      <c r="C128" s="334"/>
      <c r="D128" s="334"/>
      <c r="E128" s="334"/>
      <c r="F128" s="334"/>
      <c r="G128" s="334"/>
      <c r="H128" s="334"/>
      <c r="I128" s="334"/>
      <c r="J128" s="334"/>
      <c r="K128" s="334"/>
      <c r="L128" s="334"/>
      <c r="M128" s="334"/>
      <c r="N128" s="334"/>
      <c r="O128" s="334"/>
      <c r="P128" s="334"/>
      <c r="Q128" s="334"/>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row>
    <row r="129" spans="1:52" ht="15.75" customHeight="1" x14ac:dyDescent="0.2">
      <c r="A129" s="379"/>
      <c r="B129" s="334"/>
      <c r="C129" s="334"/>
      <c r="D129" s="334"/>
      <c r="E129" s="334"/>
      <c r="F129" s="334"/>
      <c r="G129" s="334"/>
      <c r="H129" s="334"/>
      <c r="I129" s="334"/>
      <c r="J129" s="334"/>
      <c r="K129" s="334"/>
      <c r="L129" s="334"/>
      <c r="M129" s="334"/>
      <c r="N129" s="334"/>
      <c r="O129" s="334"/>
      <c r="P129" s="334"/>
      <c r="Q129" s="334"/>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row>
    <row r="130" spans="1:52" ht="15.75" customHeight="1" x14ac:dyDescent="0.2">
      <c r="A130" s="379"/>
      <c r="B130" s="334"/>
      <c r="C130" s="334"/>
      <c r="D130" s="334"/>
      <c r="E130" s="334"/>
      <c r="F130" s="334"/>
      <c r="G130" s="334"/>
      <c r="H130" s="334"/>
      <c r="I130" s="334"/>
      <c r="J130" s="334"/>
      <c r="K130" s="334"/>
      <c r="L130" s="334"/>
      <c r="M130" s="334"/>
      <c r="N130" s="334"/>
      <c r="O130" s="334"/>
      <c r="P130" s="334"/>
      <c r="Q130" s="334"/>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row>
    <row r="131" spans="1:52" ht="15.75" customHeight="1" x14ac:dyDescent="0.2">
      <c r="A131" s="379"/>
      <c r="B131" s="334"/>
      <c r="C131" s="334"/>
      <c r="D131" s="334"/>
      <c r="E131" s="334"/>
      <c r="F131" s="334"/>
      <c r="G131" s="334"/>
      <c r="H131" s="334"/>
      <c r="I131" s="334"/>
      <c r="J131" s="334"/>
      <c r="K131" s="334"/>
      <c r="L131" s="334"/>
      <c r="M131" s="334"/>
      <c r="N131" s="334"/>
      <c r="O131" s="334"/>
      <c r="P131" s="334"/>
      <c r="Q131" s="334"/>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row>
    <row r="132" spans="1:52" ht="15.75" customHeight="1" x14ac:dyDescent="0.2">
      <c r="A132" s="379"/>
      <c r="B132" s="334"/>
      <c r="C132" s="334"/>
      <c r="D132" s="334"/>
      <c r="E132" s="334"/>
      <c r="F132" s="334"/>
      <c r="G132" s="334"/>
      <c r="H132" s="334"/>
      <c r="I132" s="334"/>
      <c r="J132" s="334"/>
      <c r="K132" s="334"/>
      <c r="L132" s="334"/>
      <c r="M132" s="334"/>
      <c r="N132" s="334"/>
      <c r="O132" s="334"/>
      <c r="P132" s="334"/>
      <c r="Q132" s="334"/>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row>
    <row r="133" spans="1:52" ht="15.75" customHeight="1" x14ac:dyDescent="0.2">
      <c r="A133" s="379"/>
      <c r="B133" s="334"/>
      <c r="C133" s="334"/>
      <c r="D133" s="334"/>
      <c r="E133" s="334"/>
      <c r="F133" s="334"/>
      <c r="G133" s="334"/>
      <c r="H133" s="334"/>
      <c r="I133" s="334"/>
      <c r="J133" s="334"/>
      <c r="K133" s="334"/>
      <c r="L133" s="334"/>
      <c r="M133" s="334"/>
      <c r="N133" s="334"/>
      <c r="O133" s="334"/>
      <c r="P133" s="334"/>
      <c r="Q133" s="334"/>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row>
    <row r="134" spans="1:52" ht="15.75" customHeight="1" x14ac:dyDescent="0.2">
      <c r="A134" s="379"/>
      <c r="B134" s="334"/>
      <c r="C134" s="334"/>
      <c r="D134" s="334"/>
      <c r="E134" s="334"/>
      <c r="F134" s="334"/>
      <c r="G134" s="334"/>
      <c r="H134" s="334"/>
      <c r="I134" s="334"/>
      <c r="J134" s="334"/>
      <c r="K134" s="334"/>
      <c r="L134" s="334"/>
      <c r="M134" s="334"/>
      <c r="N134" s="334"/>
      <c r="O134" s="334"/>
      <c r="P134" s="334"/>
      <c r="Q134" s="334"/>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row>
    <row r="135" spans="1:52" ht="15.75" customHeight="1" x14ac:dyDescent="0.2">
      <c r="A135" s="379"/>
      <c r="B135" s="334"/>
      <c r="C135" s="334"/>
      <c r="D135" s="334"/>
      <c r="E135" s="334"/>
      <c r="F135" s="334"/>
      <c r="G135" s="334"/>
      <c r="H135" s="334"/>
      <c r="I135" s="334"/>
      <c r="J135" s="334"/>
      <c r="K135" s="334"/>
      <c r="L135" s="334"/>
      <c r="M135" s="334"/>
      <c r="N135" s="334"/>
      <c r="O135" s="334"/>
      <c r="P135" s="334"/>
      <c r="Q135" s="334"/>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row>
    <row r="136" spans="1:52" ht="15.75" customHeight="1" x14ac:dyDescent="0.2">
      <c r="A136" s="379"/>
      <c r="B136" s="334"/>
      <c r="C136" s="334"/>
      <c r="D136" s="334"/>
      <c r="E136" s="334"/>
      <c r="F136" s="334"/>
      <c r="G136" s="334"/>
      <c r="H136" s="334"/>
      <c r="I136" s="334"/>
      <c r="J136" s="334"/>
      <c r="K136" s="334"/>
      <c r="L136" s="334"/>
      <c r="M136" s="334"/>
      <c r="N136" s="334"/>
      <c r="O136" s="334"/>
      <c r="P136" s="334"/>
      <c r="Q136" s="334"/>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row>
    <row r="137" spans="1:52" ht="15.75" customHeight="1" x14ac:dyDescent="0.2">
      <c r="A137" s="379"/>
      <c r="B137" s="334"/>
      <c r="C137" s="334"/>
      <c r="D137" s="334"/>
      <c r="E137" s="334"/>
      <c r="F137" s="334"/>
      <c r="G137" s="334"/>
      <c r="H137" s="334"/>
      <c r="I137" s="334"/>
      <c r="J137" s="334"/>
      <c r="K137" s="334"/>
      <c r="L137" s="334"/>
      <c r="M137" s="334"/>
      <c r="N137" s="334"/>
      <c r="O137" s="334"/>
      <c r="P137" s="334"/>
      <c r="Q137" s="334"/>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row>
    <row r="138" spans="1:52" ht="15.75" customHeight="1" x14ac:dyDescent="0.2">
      <c r="A138" s="379"/>
      <c r="B138" s="334"/>
      <c r="C138" s="334"/>
      <c r="D138" s="334"/>
      <c r="E138" s="334"/>
      <c r="F138" s="334"/>
      <c r="G138" s="334"/>
      <c r="H138" s="334"/>
      <c r="I138" s="334"/>
      <c r="J138" s="334"/>
      <c r="K138" s="334"/>
      <c r="L138" s="334"/>
      <c r="M138" s="334"/>
      <c r="N138" s="334"/>
      <c r="O138" s="334"/>
      <c r="P138" s="334"/>
      <c r="Q138" s="334"/>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row>
    <row r="139" spans="1:52" ht="15.75" customHeight="1" x14ac:dyDescent="0.2">
      <c r="A139" s="379"/>
      <c r="B139" s="334"/>
      <c r="C139" s="334"/>
      <c r="D139" s="334"/>
      <c r="E139" s="334"/>
      <c r="F139" s="334"/>
      <c r="G139" s="334"/>
      <c r="H139" s="334"/>
      <c r="I139" s="334"/>
      <c r="J139" s="334"/>
      <c r="K139" s="334"/>
      <c r="L139" s="334"/>
      <c r="M139" s="334"/>
      <c r="N139" s="334"/>
      <c r="O139" s="334"/>
      <c r="P139" s="334"/>
      <c r="Q139" s="334"/>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row>
    <row r="140" spans="1:52" ht="15.75" customHeight="1" x14ac:dyDescent="0.2">
      <c r="A140" s="379"/>
      <c r="B140" s="334"/>
      <c r="C140" s="334"/>
      <c r="D140" s="334"/>
      <c r="E140" s="334"/>
      <c r="F140" s="334"/>
      <c r="G140" s="334"/>
      <c r="H140" s="334"/>
      <c r="I140" s="334"/>
      <c r="J140" s="334"/>
      <c r="K140" s="334"/>
      <c r="L140" s="334"/>
      <c r="M140" s="334"/>
      <c r="N140" s="334"/>
      <c r="O140" s="334"/>
      <c r="P140" s="334"/>
      <c r="Q140" s="334"/>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row>
    <row r="141" spans="1:52" ht="15.75" customHeight="1" x14ac:dyDescent="0.2">
      <c r="A141" s="379"/>
      <c r="B141" s="334"/>
      <c r="C141" s="334"/>
      <c r="D141" s="334"/>
      <c r="E141" s="334"/>
      <c r="F141" s="334"/>
      <c r="G141" s="334"/>
      <c r="H141" s="334"/>
      <c r="I141" s="334"/>
      <c r="J141" s="334"/>
      <c r="K141" s="334"/>
      <c r="L141" s="334"/>
      <c r="M141" s="334"/>
      <c r="N141" s="334"/>
      <c r="O141" s="334"/>
      <c r="P141" s="334"/>
      <c r="Q141" s="334"/>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row>
    <row r="142" spans="1:52" ht="15.75" customHeight="1" x14ac:dyDescent="0.2">
      <c r="A142" s="379"/>
      <c r="B142" s="334"/>
      <c r="C142" s="334"/>
      <c r="D142" s="334"/>
      <c r="E142" s="334"/>
      <c r="F142" s="334"/>
      <c r="G142" s="334"/>
      <c r="H142" s="334"/>
      <c r="I142" s="334"/>
      <c r="J142" s="334"/>
      <c r="K142" s="334"/>
      <c r="L142" s="334"/>
      <c r="M142" s="334"/>
      <c r="N142" s="334"/>
      <c r="O142" s="334"/>
      <c r="P142" s="334"/>
      <c r="Q142" s="334"/>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row>
    <row r="143" spans="1:52" ht="15.75" customHeight="1" x14ac:dyDescent="0.2">
      <c r="A143" s="379"/>
      <c r="B143" s="334"/>
      <c r="C143" s="334"/>
      <c r="D143" s="334"/>
      <c r="E143" s="334"/>
      <c r="F143" s="334"/>
      <c r="G143" s="334"/>
      <c r="H143" s="334"/>
      <c r="I143" s="334"/>
      <c r="J143" s="334"/>
      <c r="K143" s="334"/>
      <c r="L143" s="334"/>
      <c r="M143" s="334"/>
      <c r="N143" s="334"/>
      <c r="O143" s="334"/>
      <c r="P143" s="334"/>
      <c r="Q143" s="334"/>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row>
    <row r="144" spans="1:52" ht="15.75" customHeight="1" x14ac:dyDescent="0.2">
      <c r="A144" s="379"/>
      <c r="B144" s="334"/>
      <c r="C144" s="334"/>
      <c r="D144" s="334"/>
      <c r="E144" s="334"/>
      <c r="F144" s="334"/>
      <c r="G144" s="334"/>
      <c r="H144" s="334"/>
      <c r="I144" s="334"/>
      <c r="J144" s="334"/>
      <c r="K144" s="334"/>
      <c r="L144" s="334"/>
      <c r="M144" s="334"/>
      <c r="N144" s="334"/>
      <c r="O144" s="334"/>
      <c r="P144" s="334"/>
      <c r="Q144" s="334"/>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row>
    <row r="145" spans="1:52" ht="15.75" customHeight="1" x14ac:dyDescent="0.2">
      <c r="A145" s="379"/>
      <c r="B145" s="334"/>
      <c r="C145" s="334"/>
      <c r="D145" s="334"/>
      <c r="E145" s="334"/>
      <c r="F145" s="334"/>
      <c r="G145" s="334"/>
      <c r="H145" s="334"/>
      <c r="I145" s="334"/>
      <c r="J145" s="334"/>
      <c r="K145" s="334"/>
      <c r="L145" s="334"/>
      <c r="M145" s="334"/>
      <c r="N145" s="334"/>
      <c r="O145" s="334"/>
      <c r="P145" s="334"/>
      <c r="Q145" s="334"/>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row>
    <row r="146" spans="1:52" ht="15.75" customHeight="1" x14ac:dyDescent="0.2">
      <c r="A146" s="379"/>
      <c r="B146" s="334"/>
      <c r="C146" s="334"/>
      <c r="D146" s="334"/>
      <c r="E146" s="334"/>
      <c r="F146" s="334"/>
      <c r="G146" s="334"/>
      <c r="H146" s="334"/>
      <c r="I146" s="334"/>
      <c r="J146" s="334"/>
      <c r="K146" s="334"/>
      <c r="L146" s="334"/>
      <c r="M146" s="334"/>
      <c r="N146" s="334"/>
      <c r="O146" s="334"/>
      <c r="P146" s="334"/>
      <c r="Q146" s="334"/>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row>
    <row r="147" spans="1:52" ht="15.75" customHeight="1" x14ac:dyDescent="0.2">
      <c r="A147" s="379"/>
      <c r="B147" s="334"/>
      <c r="C147" s="334"/>
      <c r="D147" s="334"/>
      <c r="E147" s="334"/>
      <c r="F147" s="334"/>
      <c r="G147" s="334"/>
      <c r="H147" s="334"/>
      <c r="I147" s="334"/>
      <c r="J147" s="334"/>
      <c r="K147" s="334"/>
      <c r="L147" s="334"/>
      <c r="M147" s="334"/>
      <c r="N147" s="334"/>
      <c r="O147" s="334"/>
      <c r="P147" s="334"/>
      <c r="Q147" s="334"/>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row>
    <row r="148" spans="1:52" ht="15.75" customHeight="1" x14ac:dyDescent="0.2">
      <c r="A148" s="379"/>
      <c r="B148" s="334"/>
      <c r="C148" s="334"/>
      <c r="D148" s="334"/>
      <c r="E148" s="334"/>
      <c r="F148" s="334"/>
      <c r="G148" s="334"/>
      <c r="H148" s="334"/>
      <c r="I148" s="334"/>
      <c r="J148" s="334"/>
      <c r="K148" s="334"/>
      <c r="L148" s="334"/>
      <c r="M148" s="334"/>
      <c r="N148" s="334"/>
      <c r="O148" s="334"/>
      <c r="P148" s="334"/>
      <c r="Q148" s="334"/>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row>
    <row r="149" spans="1:52" ht="15.75" customHeight="1" x14ac:dyDescent="0.2">
      <c r="A149" s="379"/>
      <c r="B149" s="334"/>
      <c r="C149" s="334"/>
      <c r="D149" s="334"/>
      <c r="E149" s="334"/>
      <c r="F149" s="334"/>
      <c r="G149" s="334"/>
      <c r="H149" s="334"/>
      <c r="I149" s="334"/>
      <c r="J149" s="334"/>
      <c r="K149" s="334"/>
      <c r="L149" s="334"/>
      <c r="M149" s="334"/>
      <c r="N149" s="334"/>
      <c r="O149" s="334"/>
      <c r="P149" s="334"/>
      <c r="Q149" s="334"/>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row>
    <row r="150" spans="1:52" ht="15.75" customHeight="1" x14ac:dyDescent="0.2">
      <c r="A150" s="379"/>
      <c r="B150" s="334"/>
      <c r="C150" s="334"/>
      <c r="D150" s="334"/>
      <c r="E150" s="334"/>
      <c r="F150" s="334"/>
      <c r="G150" s="334"/>
      <c r="H150" s="334"/>
      <c r="I150" s="334"/>
      <c r="J150" s="334"/>
      <c r="K150" s="334"/>
      <c r="L150" s="334"/>
      <c r="M150" s="334"/>
      <c r="N150" s="334"/>
      <c r="O150" s="334"/>
      <c r="P150" s="334"/>
      <c r="Q150" s="334"/>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row>
    <row r="151" spans="1:52" ht="15.75" customHeight="1" x14ac:dyDescent="0.2">
      <c r="A151" s="379"/>
      <c r="B151" s="334"/>
      <c r="C151" s="334"/>
      <c r="D151" s="334"/>
      <c r="E151" s="334"/>
      <c r="F151" s="334"/>
      <c r="G151" s="334"/>
      <c r="H151" s="334"/>
      <c r="I151" s="334"/>
      <c r="J151" s="334"/>
      <c r="K151" s="334"/>
      <c r="L151" s="334"/>
      <c r="M151" s="334"/>
      <c r="N151" s="334"/>
      <c r="O151" s="334"/>
      <c r="P151" s="334"/>
      <c r="Q151" s="334"/>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row>
    <row r="152" spans="1:52" ht="15.75" customHeight="1" x14ac:dyDescent="0.2">
      <c r="A152" s="379"/>
      <c r="B152" s="334"/>
      <c r="C152" s="334"/>
      <c r="D152" s="334"/>
      <c r="E152" s="334"/>
      <c r="F152" s="334"/>
      <c r="G152" s="334"/>
      <c r="H152" s="334"/>
      <c r="I152" s="334"/>
      <c r="J152" s="334"/>
      <c r="K152" s="334"/>
      <c r="L152" s="334"/>
      <c r="M152" s="334"/>
      <c r="N152" s="334"/>
      <c r="O152" s="334"/>
      <c r="P152" s="334"/>
      <c r="Q152" s="334"/>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row>
    <row r="153" spans="1:52" ht="15.75" customHeight="1" x14ac:dyDescent="0.2">
      <c r="A153" s="379"/>
      <c r="B153" s="334"/>
      <c r="C153" s="334"/>
      <c r="D153" s="334"/>
      <c r="E153" s="334"/>
      <c r="F153" s="334"/>
      <c r="G153" s="334"/>
      <c r="H153" s="334"/>
      <c r="I153" s="334"/>
      <c r="J153" s="334"/>
      <c r="K153" s="334"/>
      <c r="L153" s="334"/>
      <c r="M153" s="334"/>
      <c r="N153" s="334"/>
      <c r="O153" s="334"/>
      <c r="P153" s="334"/>
      <c r="Q153" s="334"/>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row>
    <row r="154" spans="1:52" ht="15.75" customHeight="1" x14ac:dyDescent="0.2">
      <c r="A154" s="379"/>
      <c r="B154" s="334"/>
      <c r="C154" s="334"/>
      <c r="D154" s="334"/>
      <c r="E154" s="334"/>
      <c r="F154" s="334"/>
      <c r="G154" s="334"/>
      <c r="H154" s="334"/>
      <c r="I154" s="334"/>
      <c r="J154" s="334"/>
      <c r="K154" s="334"/>
      <c r="L154" s="334"/>
      <c r="M154" s="334"/>
      <c r="N154" s="334"/>
      <c r="O154" s="334"/>
      <c r="P154" s="334"/>
      <c r="Q154" s="334"/>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row>
    <row r="155" spans="1:52" ht="15.75" customHeight="1" x14ac:dyDescent="0.2">
      <c r="A155" s="379"/>
      <c r="B155" s="334"/>
      <c r="C155" s="334"/>
      <c r="D155" s="334"/>
      <c r="E155" s="334"/>
      <c r="F155" s="334"/>
      <c r="G155" s="334"/>
      <c r="H155" s="334"/>
      <c r="I155" s="334"/>
      <c r="J155" s="334"/>
      <c r="K155" s="334"/>
      <c r="L155" s="334"/>
      <c r="M155" s="334"/>
      <c r="N155" s="334"/>
      <c r="O155" s="334"/>
      <c r="P155" s="334"/>
      <c r="Q155" s="334"/>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row>
    <row r="156" spans="1:52" ht="15.75" customHeight="1" x14ac:dyDescent="0.2">
      <c r="A156" s="379"/>
      <c r="B156" s="334"/>
      <c r="C156" s="334"/>
      <c r="D156" s="334"/>
      <c r="E156" s="334"/>
      <c r="F156" s="334"/>
      <c r="G156" s="334"/>
      <c r="H156" s="334"/>
      <c r="I156" s="334"/>
      <c r="J156" s="334"/>
      <c r="K156" s="334"/>
      <c r="L156" s="334"/>
      <c r="M156" s="334"/>
      <c r="N156" s="334"/>
      <c r="O156" s="334"/>
      <c r="P156" s="334"/>
      <c r="Q156" s="334"/>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row>
    <row r="157" spans="1:52" ht="15.75" customHeight="1" x14ac:dyDescent="0.2">
      <c r="A157" s="379"/>
      <c r="B157" s="334"/>
      <c r="C157" s="334"/>
      <c r="D157" s="334"/>
      <c r="E157" s="334"/>
      <c r="F157" s="334"/>
      <c r="G157" s="334"/>
      <c r="H157" s="334"/>
      <c r="I157" s="334"/>
      <c r="J157" s="334"/>
      <c r="K157" s="334"/>
      <c r="L157" s="334"/>
      <c r="M157" s="334"/>
      <c r="N157" s="334"/>
      <c r="O157" s="334"/>
      <c r="P157" s="334"/>
      <c r="Q157" s="334"/>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row>
    <row r="158" spans="1:52" ht="15.75" customHeight="1" x14ac:dyDescent="0.2">
      <c r="A158" s="379"/>
      <c r="B158" s="334"/>
      <c r="C158" s="334"/>
      <c r="D158" s="334"/>
      <c r="E158" s="334"/>
      <c r="F158" s="334"/>
      <c r="G158" s="334"/>
      <c r="H158" s="334"/>
      <c r="I158" s="334"/>
      <c r="J158" s="334"/>
      <c r="K158" s="334"/>
      <c r="L158" s="334"/>
      <c r="M158" s="334"/>
      <c r="N158" s="334"/>
      <c r="O158" s="334"/>
      <c r="P158" s="334"/>
      <c r="Q158" s="334"/>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row>
    <row r="159" spans="1:52" ht="15.75" customHeight="1" x14ac:dyDescent="0.2">
      <c r="A159" s="379"/>
      <c r="B159" s="334"/>
      <c r="C159" s="334"/>
      <c r="D159" s="334"/>
      <c r="E159" s="334"/>
      <c r="F159" s="334"/>
      <c r="G159" s="334"/>
      <c r="H159" s="334"/>
      <c r="I159" s="334"/>
      <c r="J159" s="334"/>
      <c r="K159" s="334"/>
      <c r="L159" s="334"/>
      <c r="M159" s="334"/>
      <c r="N159" s="334"/>
      <c r="O159" s="334"/>
      <c r="P159" s="334"/>
      <c r="Q159" s="334"/>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row>
    <row r="160" spans="1:52" ht="15.75" customHeight="1" x14ac:dyDescent="0.2">
      <c r="A160" s="379"/>
      <c r="B160" s="334"/>
      <c r="C160" s="334"/>
      <c r="D160" s="334"/>
      <c r="E160" s="334"/>
      <c r="F160" s="334"/>
      <c r="G160" s="334"/>
      <c r="H160" s="334"/>
      <c r="I160" s="334"/>
      <c r="J160" s="334"/>
      <c r="K160" s="334"/>
      <c r="L160" s="334"/>
      <c r="M160" s="334"/>
      <c r="N160" s="334"/>
      <c r="O160" s="334"/>
      <c r="P160" s="334"/>
      <c r="Q160" s="334"/>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row>
    <row r="161" spans="1:52" ht="15.75" customHeight="1" x14ac:dyDescent="0.2">
      <c r="A161" s="379"/>
      <c r="B161" s="334"/>
      <c r="C161" s="334"/>
      <c r="D161" s="334"/>
      <c r="E161" s="334"/>
      <c r="F161" s="334"/>
      <c r="G161" s="334"/>
      <c r="H161" s="334"/>
      <c r="I161" s="334"/>
      <c r="J161" s="334"/>
      <c r="K161" s="334"/>
      <c r="L161" s="334"/>
      <c r="M161" s="334"/>
      <c r="N161" s="334"/>
      <c r="O161" s="334"/>
      <c r="P161" s="334"/>
      <c r="Q161" s="334"/>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row>
    <row r="162" spans="1:52" ht="15.75" customHeight="1" x14ac:dyDescent="0.2">
      <c r="A162" s="379"/>
      <c r="B162" s="334"/>
      <c r="C162" s="334"/>
      <c r="D162" s="334"/>
      <c r="E162" s="334"/>
      <c r="F162" s="334"/>
      <c r="G162" s="334"/>
      <c r="H162" s="334"/>
      <c r="I162" s="334"/>
      <c r="J162" s="334"/>
      <c r="K162" s="334"/>
      <c r="L162" s="334"/>
      <c r="M162" s="334"/>
      <c r="N162" s="334"/>
      <c r="O162" s="334"/>
      <c r="P162" s="334"/>
      <c r="Q162" s="334"/>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row>
    <row r="163" spans="1:52" ht="15.75" customHeight="1" x14ac:dyDescent="0.2">
      <c r="A163" s="379"/>
      <c r="B163" s="334"/>
      <c r="C163" s="334"/>
      <c r="D163" s="334"/>
      <c r="E163" s="334"/>
      <c r="F163" s="334"/>
      <c r="G163" s="334"/>
      <c r="H163" s="334"/>
      <c r="I163" s="334"/>
      <c r="J163" s="334"/>
      <c r="K163" s="334"/>
      <c r="L163" s="334"/>
      <c r="M163" s="334"/>
      <c r="N163" s="334"/>
      <c r="O163" s="334"/>
      <c r="P163" s="334"/>
      <c r="Q163" s="334"/>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row>
    <row r="164" spans="1:52" ht="15.75" customHeight="1" x14ac:dyDescent="0.2">
      <c r="A164" s="379"/>
      <c r="B164" s="334"/>
      <c r="C164" s="334"/>
      <c r="D164" s="334"/>
      <c r="E164" s="334"/>
      <c r="F164" s="334"/>
      <c r="G164" s="334"/>
      <c r="H164" s="334"/>
      <c r="I164" s="334"/>
      <c r="J164" s="334"/>
      <c r="K164" s="334"/>
      <c r="L164" s="334"/>
      <c r="M164" s="334"/>
      <c r="N164" s="334"/>
      <c r="O164" s="334"/>
      <c r="P164" s="334"/>
      <c r="Q164" s="334"/>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row>
    <row r="165" spans="1:52" ht="15.75" customHeight="1" x14ac:dyDescent="0.2">
      <c r="A165" s="379"/>
      <c r="B165" s="334"/>
      <c r="C165" s="334"/>
      <c r="D165" s="334"/>
      <c r="E165" s="334"/>
      <c r="F165" s="334"/>
      <c r="G165" s="334"/>
      <c r="H165" s="334"/>
      <c r="I165" s="334"/>
      <c r="J165" s="334"/>
      <c r="K165" s="334"/>
      <c r="L165" s="334"/>
      <c r="M165" s="334"/>
      <c r="N165" s="334"/>
      <c r="O165" s="334"/>
      <c r="P165" s="334"/>
      <c r="Q165" s="334"/>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row>
    <row r="166" spans="1:52" ht="15.75" customHeight="1" x14ac:dyDescent="0.2">
      <c r="A166" s="379"/>
      <c r="B166" s="334"/>
      <c r="C166" s="334"/>
      <c r="D166" s="334"/>
      <c r="E166" s="334"/>
      <c r="F166" s="334"/>
      <c r="G166" s="334"/>
      <c r="H166" s="334"/>
      <c r="I166" s="334"/>
      <c r="J166" s="334"/>
      <c r="K166" s="334"/>
      <c r="L166" s="334"/>
      <c r="M166" s="334"/>
      <c r="N166" s="334"/>
      <c r="O166" s="334"/>
      <c r="P166" s="334"/>
      <c r="Q166" s="334"/>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row>
    <row r="167" spans="1:52" ht="15.75" customHeight="1" x14ac:dyDescent="0.2">
      <c r="A167" s="379"/>
      <c r="B167" s="334"/>
      <c r="C167" s="334"/>
      <c r="D167" s="334"/>
      <c r="E167" s="334"/>
      <c r="F167" s="334"/>
      <c r="G167" s="334"/>
      <c r="H167" s="334"/>
      <c r="I167" s="334"/>
      <c r="J167" s="334"/>
      <c r="K167" s="334"/>
      <c r="L167" s="334"/>
      <c r="M167" s="334"/>
      <c r="N167" s="334"/>
      <c r="O167" s="334"/>
      <c r="P167" s="334"/>
      <c r="Q167" s="334"/>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row>
    <row r="168" spans="1:52" ht="15.75" customHeight="1" x14ac:dyDescent="0.2">
      <c r="A168" s="379"/>
      <c r="B168" s="334"/>
      <c r="C168" s="334"/>
      <c r="D168" s="334"/>
      <c r="E168" s="334"/>
      <c r="F168" s="334"/>
      <c r="G168" s="334"/>
      <c r="H168" s="334"/>
      <c r="I168" s="334"/>
      <c r="J168" s="334"/>
      <c r="K168" s="334"/>
      <c r="L168" s="334"/>
      <c r="M168" s="334"/>
      <c r="N168" s="334"/>
      <c r="O168" s="334"/>
      <c r="P168" s="334"/>
      <c r="Q168" s="334"/>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row>
    <row r="169" spans="1:52" ht="15.75" customHeight="1" x14ac:dyDescent="0.2">
      <c r="A169" s="379"/>
      <c r="B169" s="334"/>
      <c r="C169" s="334"/>
      <c r="D169" s="334"/>
      <c r="E169" s="334"/>
      <c r="F169" s="334"/>
      <c r="G169" s="334"/>
      <c r="H169" s="334"/>
      <c r="I169" s="334"/>
      <c r="J169" s="334"/>
      <c r="K169" s="334"/>
      <c r="L169" s="334"/>
      <c r="M169" s="334"/>
      <c r="N169" s="334"/>
      <c r="O169" s="334"/>
      <c r="P169" s="334"/>
      <c r="Q169" s="334"/>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row>
    <row r="170" spans="1:52" ht="15.75" customHeight="1" x14ac:dyDescent="0.2">
      <c r="A170" s="379"/>
      <c r="B170" s="334"/>
      <c r="C170" s="334"/>
      <c r="D170" s="334"/>
      <c r="E170" s="334"/>
      <c r="F170" s="334"/>
      <c r="G170" s="334"/>
      <c r="H170" s="334"/>
      <c r="I170" s="334"/>
      <c r="J170" s="334"/>
      <c r="K170" s="334"/>
      <c r="L170" s="334"/>
      <c r="M170" s="334"/>
      <c r="N170" s="334"/>
      <c r="O170" s="334"/>
      <c r="P170" s="334"/>
      <c r="Q170" s="334"/>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row>
    <row r="171" spans="1:52" ht="15.75" customHeight="1" x14ac:dyDescent="0.2">
      <c r="A171" s="379"/>
      <c r="B171" s="334"/>
      <c r="C171" s="334"/>
      <c r="D171" s="334"/>
      <c r="E171" s="334"/>
      <c r="F171" s="334"/>
      <c r="G171" s="334"/>
      <c r="H171" s="334"/>
      <c r="I171" s="334"/>
      <c r="J171" s="334"/>
      <c r="K171" s="334"/>
      <c r="L171" s="334"/>
      <c r="M171" s="334"/>
      <c r="N171" s="334"/>
      <c r="O171" s="334"/>
      <c r="P171" s="334"/>
      <c r="Q171" s="334"/>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row>
    <row r="172" spans="1:52" ht="15.75" customHeight="1" x14ac:dyDescent="0.2">
      <c r="A172" s="379"/>
      <c r="B172" s="334"/>
      <c r="C172" s="334"/>
      <c r="D172" s="334"/>
      <c r="E172" s="334"/>
      <c r="F172" s="334"/>
      <c r="G172" s="334"/>
      <c r="H172" s="334"/>
      <c r="I172" s="334"/>
      <c r="J172" s="334"/>
      <c r="K172" s="334"/>
      <c r="L172" s="334"/>
      <c r="M172" s="334"/>
      <c r="N172" s="334"/>
      <c r="O172" s="334"/>
      <c r="P172" s="334"/>
      <c r="Q172" s="334"/>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row>
    <row r="173" spans="1:52" ht="15.75" customHeight="1" x14ac:dyDescent="0.2">
      <c r="A173" s="379"/>
      <c r="B173" s="334"/>
      <c r="C173" s="334"/>
      <c r="D173" s="334"/>
      <c r="E173" s="334"/>
      <c r="F173" s="334"/>
      <c r="G173" s="334"/>
      <c r="H173" s="334"/>
      <c r="I173" s="334"/>
      <c r="J173" s="334"/>
      <c r="K173" s="334"/>
      <c r="L173" s="334"/>
      <c r="M173" s="334"/>
      <c r="N173" s="334"/>
      <c r="O173" s="334"/>
      <c r="P173" s="334"/>
      <c r="Q173" s="334"/>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row>
    <row r="174" spans="1:52" ht="15.75" customHeight="1" x14ac:dyDescent="0.2">
      <c r="A174" s="379"/>
      <c r="B174" s="334"/>
      <c r="C174" s="334"/>
      <c r="D174" s="334"/>
      <c r="E174" s="334"/>
      <c r="F174" s="334"/>
      <c r="G174" s="334"/>
      <c r="H174" s="334"/>
      <c r="I174" s="334"/>
      <c r="J174" s="334"/>
      <c r="K174" s="334"/>
      <c r="L174" s="334"/>
      <c r="M174" s="334"/>
      <c r="N174" s="334"/>
      <c r="O174" s="334"/>
      <c r="P174" s="334"/>
      <c r="Q174" s="334"/>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row>
    <row r="175" spans="1:52" ht="15.75" customHeight="1" x14ac:dyDescent="0.2">
      <c r="A175" s="379"/>
      <c r="B175" s="334"/>
      <c r="C175" s="334"/>
      <c r="D175" s="334"/>
      <c r="E175" s="334"/>
      <c r="F175" s="334"/>
      <c r="G175" s="334"/>
      <c r="H175" s="334"/>
      <c r="I175" s="334"/>
      <c r="J175" s="334"/>
      <c r="K175" s="334"/>
      <c r="L175" s="334"/>
      <c r="M175" s="334"/>
      <c r="N175" s="334"/>
      <c r="O175" s="334"/>
      <c r="P175" s="334"/>
      <c r="Q175" s="334"/>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row>
    <row r="176" spans="1:52" ht="15.75" customHeight="1" x14ac:dyDescent="0.2">
      <c r="A176" s="379"/>
      <c r="B176" s="334"/>
      <c r="C176" s="334"/>
      <c r="D176" s="334"/>
      <c r="E176" s="334"/>
      <c r="F176" s="334"/>
      <c r="G176" s="334"/>
      <c r="H176" s="334"/>
      <c r="I176" s="334"/>
      <c r="J176" s="334"/>
      <c r="K176" s="334"/>
      <c r="L176" s="334"/>
      <c r="M176" s="334"/>
      <c r="N176" s="334"/>
      <c r="O176" s="334"/>
      <c r="P176" s="334"/>
      <c r="Q176" s="334"/>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row>
    <row r="177" spans="1:52" ht="15.75" customHeight="1" x14ac:dyDescent="0.2">
      <c r="A177" s="379"/>
      <c r="B177" s="334"/>
      <c r="C177" s="334"/>
      <c r="D177" s="334"/>
      <c r="E177" s="334"/>
      <c r="F177" s="334"/>
      <c r="G177" s="334"/>
      <c r="H177" s="334"/>
      <c r="I177" s="334"/>
      <c r="J177" s="334"/>
      <c r="K177" s="334"/>
      <c r="L177" s="334"/>
      <c r="M177" s="334"/>
      <c r="N177" s="334"/>
      <c r="O177" s="334"/>
      <c r="P177" s="334"/>
      <c r="Q177" s="334"/>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row>
    <row r="178" spans="1:52" ht="15.75" customHeight="1" x14ac:dyDescent="0.2">
      <c r="A178" s="379"/>
      <c r="B178" s="334"/>
      <c r="C178" s="334"/>
      <c r="D178" s="334"/>
      <c r="E178" s="334"/>
      <c r="F178" s="334"/>
      <c r="G178" s="334"/>
      <c r="H178" s="334"/>
      <c r="I178" s="334"/>
      <c r="J178" s="334"/>
      <c r="K178" s="334"/>
      <c r="L178" s="334"/>
      <c r="M178" s="334"/>
      <c r="N178" s="334"/>
      <c r="O178" s="334"/>
      <c r="P178" s="334"/>
      <c r="Q178" s="334"/>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row>
    <row r="179" spans="1:52" ht="15.75" customHeight="1" x14ac:dyDescent="0.2">
      <c r="A179" s="379"/>
      <c r="B179" s="334"/>
      <c r="C179" s="334"/>
      <c r="D179" s="334"/>
      <c r="E179" s="334"/>
      <c r="F179" s="334"/>
      <c r="G179" s="334"/>
      <c r="H179" s="334"/>
      <c r="I179" s="334"/>
      <c r="J179" s="334"/>
      <c r="K179" s="334"/>
      <c r="L179" s="334"/>
      <c r="M179" s="334"/>
      <c r="N179" s="334"/>
      <c r="O179" s="334"/>
      <c r="P179" s="334"/>
      <c r="Q179" s="334"/>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row>
    <row r="180" spans="1:52" ht="15.75" customHeight="1" x14ac:dyDescent="0.2">
      <c r="A180" s="379"/>
      <c r="B180" s="334"/>
      <c r="C180" s="334"/>
      <c r="D180" s="334"/>
      <c r="E180" s="334"/>
      <c r="F180" s="334"/>
      <c r="G180" s="334"/>
      <c r="H180" s="334"/>
      <c r="I180" s="334"/>
      <c r="J180" s="334"/>
      <c r="K180" s="334"/>
      <c r="L180" s="334"/>
      <c r="M180" s="334"/>
      <c r="N180" s="334"/>
      <c r="O180" s="334"/>
      <c r="P180" s="334"/>
      <c r="Q180" s="334"/>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row>
    <row r="181" spans="1:52" ht="15.75" customHeight="1" x14ac:dyDescent="0.2">
      <c r="A181" s="379"/>
      <c r="B181" s="334"/>
      <c r="C181" s="334"/>
      <c r="D181" s="334"/>
      <c r="E181" s="334"/>
      <c r="F181" s="334"/>
      <c r="G181" s="334"/>
      <c r="H181" s="334"/>
      <c r="I181" s="334"/>
      <c r="J181" s="334"/>
      <c r="K181" s="334"/>
      <c r="L181" s="334"/>
      <c r="M181" s="334"/>
      <c r="N181" s="334"/>
      <c r="O181" s="334"/>
      <c r="P181" s="334"/>
      <c r="Q181" s="334"/>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row>
    <row r="182" spans="1:52" ht="15.75" customHeight="1" x14ac:dyDescent="0.2">
      <c r="A182" s="379"/>
      <c r="B182" s="334"/>
      <c r="C182" s="334"/>
      <c r="D182" s="334"/>
      <c r="E182" s="334"/>
      <c r="F182" s="334"/>
      <c r="G182" s="334"/>
      <c r="H182" s="334"/>
      <c r="I182" s="334"/>
      <c r="J182" s="334"/>
      <c r="K182" s="334"/>
      <c r="L182" s="334"/>
      <c r="M182" s="334"/>
      <c r="N182" s="334"/>
      <c r="O182" s="334"/>
      <c r="P182" s="334"/>
      <c r="Q182" s="334"/>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row>
    <row r="183" spans="1:52" ht="15.75" customHeight="1" x14ac:dyDescent="0.2">
      <c r="A183" s="379"/>
      <c r="B183" s="334"/>
      <c r="C183" s="334"/>
      <c r="D183" s="334"/>
      <c r="E183" s="334"/>
      <c r="F183" s="334"/>
      <c r="G183" s="334"/>
      <c r="H183" s="334"/>
      <c r="I183" s="334"/>
      <c r="J183" s="334"/>
      <c r="K183" s="334"/>
      <c r="L183" s="334"/>
      <c r="M183" s="334"/>
      <c r="N183" s="334"/>
      <c r="O183" s="334"/>
      <c r="P183" s="334"/>
      <c r="Q183" s="334"/>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row>
    <row r="184" spans="1:52" ht="15.75" customHeight="1" x14ac:dyDescent="0.2">
      <c r="A184" s="379"/>
      <c r="B184" s="334"/>
      <c r="C184" s="334"/>
      <c r="D184" s="334"/>
      <c r="E184" s="334"/>
      <c r="F184" s="334"/>
      <c r="G184" s="334"/>
      <c r="H184" s="334"/>
      <c r="I184" s="334"/>
      <c r="J184" s="334"/>
      <c r="K184" s="334"/>
      <c r="L184" s="334"/>
      <c r="M184" s="334"/>
      <c r="N184" s="334"/>
      <c r="O184" s="334"/>
      <c r="P184" s="334"/>
      <c r="Q184" s="334"/>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row>
    <row r="185" spans="1:52" ht="15.75" customHeight="1" x14ac:dyDescent="0.2">
      <c r="A185" s="379"/>
      <c r="B185" s="334"/>
      <c r="C185" s="334"/>
      <c r="D185" s="334"/>
      <c r="E185" s="334"/>
      <c r="F185" s="334"/>
      <c r="G185" s="334"/>
      <c r="H185" s="334"/>
      <c r="I185" s="334"/>
      <c r="J185" s="334"/>
      <c r="K185" s="334"/>
      <c r="L185" s="334"/>
      <c r="M185" s="334"/>
      <c r="N185" s="334"/>
      <c r="O185" s="334"/>
      <c r="P185" s="334"/>
      <c r="Q185" s="334"/>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row>
    <row r="186" spans="1:52" ht="15.75" customHeight="1" x14ac:dyDescent="0.2">
      <c r="A186" s="379"/>
      <c r="B186" s="334"/>
      <c r="C186" s="334"/>
      <c r="D186" s="334"/>
      <c r="E186" s="334"/>
      <c r="F186" s="334"/>
      <c r="G186" s="334"/>
      <c r="H186" s="334"/>
      <c r="I186" s="334"/>
      <c r="J186" s="334"/>
      <c r="K186" s="334"/>
      <c r="L186" s="334"/>
      <c r="M186" s="334"/>
      <c r="N186" s="334"/>
      <c r="O186" s="334"/>
      <c r="P186" s="334"/>
      <c r="Q186" s="334"/>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row>
    <row r="187" spans="1:52" ht="15.75" customHeight="1" x14ac:dyDescent="0.2">
      <c r="A187" s="379"/>
      <c r="B187" s="334"/>
      <c r="C187" s="334"/>
      <c r="D187" s="334"/>
      <c r="E187" s="334"/>
      <c r="F187" s="334"/>
      <c r="G187" s="334"/>
      <c r="H187" s="334"/>
      <c r="I187" s="334"/>
      <c r="J187" s="334"/>
      <c r="K187" s="334"/>
      <c r="L187" s="334"/>
      <c r="M187" s="334"/>
      <c r="N187" s="334"/>
      <c r="O187" s="334"/>
      <c r="P187" s="334"/>
      <c r="Q187" s="334"/>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row>
    <row r="188" spans="1:52" ht="15.75" customHeight="1" x14ac:dyDescent="0.2">
      <c r="A188" s="379"/>
      <c r="B188" s="334"/>
      <c r="C188" s="334"/>
      <c r="D188" s="334"/>
      <c r="E188" s="334"/>
      <c r="F188" s="334"/>
      <c r="G188" s="334"/>
      <c r="H188" s="334"/>
      <c r="I188" s="334"/>
      <c r="J188" s="334"/>
      <c r="K188" s="334"/>
      <c r="L188" s="334"/>
      <c r="M188" s="334"/>
      <c r="N188" s="334"/>
      <c r="O188" s="334"/>
      <c r="P188" s="334"/>
      <c r="Q188" s="334"/>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row>
    <row r="189" spans="1:52" ht="15.75" customHeight="1" x14ac:dyDescent="0.2">
      <c r="A189" s="379"/>
      <c r="B189" s="334"/>
      <c r="C189" s="334"/>
      <c r="D189" s="334"/>
      <c r="E189" s="334"/>
      <c r="F189" s="334"/>
      <c r="G189" s="334"/>
      <c r="H189" s="334"/>
      <c r="I189" s="334"/>
      <c r="J189" s="334"/>
      <c r="K189" s="334"/>
      <c r="L189" s="334"/>
      <c r="M189" s="334"/>
      <c r="N189" s="334"/>
      <c r="O189" s="334"/>
      <c r="P189" s="334"/>
      <c r="Q189" s="334"/>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row>
    <row r="190" spans="1:52" ht="15.75" customHeight="1" x14ac:dyDescent="0.2">
      <c r="A190" s="379"/>
      <c r="B190" s="334"/>
      <c r="C190" s="334"/>
      <c r="D190" s="334"/>
      <c r="E190" s="334"/>
      <c r="F190" s="334"/>
      <c r="G190" s="334"/>
      <c r="H190" s="334"/>
      <c r="I190" s="334"/>
      <c r="J190" s="334"/>
      <c r="K190" s="334"/>
      <c r="L190" s="334"/>
      <c r="M190" s="334"/>
      <c r="N190" s="334"/>
      <c r="O190" s="334"/>
      <c r="P190" s="334"/>
      <c r="Q190" s="334"/>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row>
    <row r="191" spans="1:52" ht="15.75" customHeight="1" x14ac:dyDescent="0.2">
      <c r="A191" s="379"/>
      <c r="B191" s="334"/>
      <c r="C191" s="334"/>
      <c r="D191" s="334"/>
      <c r="E191" s="334"/>
      <c r="F191" s="334"/>
      <c r="G191" s="334"/>
      <c r="H191" s="334"/>
      <c r="I191" s="334"/>
      <c r="J191" s="334"/>
      <c r="K191" s="334"/>
      <c r="L191" s="334"/>
      <c r="M191" s="334"/>
      <c r="N191" s="334"/>
      <c r="O191" s="334"/>
      <c r="P191" s="334"/>
      <c r="Q191" s="334"/>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row>
    <row r="192" spans="1:52" ht="15.75" customHeight="1" x14ac:dyDescent="0.2">
      <c r="A192" s="379"/>
      <c r="B192" s="334"/>
      <c r="C192" s="334"/>
      <c r="D192" s="334"/>
      <c r="E192" s="334"/>
      <c r="F192" s="334"/>
      <c r="G192" s="334"/>
      <c r="H192" s="334"/>
      <c r="I192" s="334"/>
      <c r="J192" s="334"/>
      <c r="K192" s="334"/>
      <c r="L192" s="334"/>
      <c r="M192" s="334"/>
      <c r="N192" s="334"/>
      <c r="O192" s="334"/>
      <c r="P192" s="334"/>
      <c r="Q192" s="334"/>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row>
    <row r="193" spans="1:52" ht="15.75" customHeight="1" x14ac:dyDescent="0.2">
      <c r="A193" s="379"/>
      <c r="B193" s="334"/>
      <c r="C193" s="334"/>
      <c r="D193" s="334"/>
      <c r="E193" s="334"/>
      <c r="F193" s="334"/>
      <c r="G193" s="334"/>
      <c r="H193" s="334"/>
      <c r="I193" s="334"/>
      <c r="J193" s="334"/>
      <c r="K193" s="334"/>
      <c r="L193" s="334"/>
      <c r="M193" s="334"/>
      <c r="N193" s="334"/>
      <c r="O193" s="334"/>
      <c r="P193" s="334"/>
      <c r="Q193" s="334"/>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row>
    <row r="194" spans="1:52" ht="15.75" customHeight="1" x14ac:dyDescent="0.2">
      <c r="A194" s="379"/>
      <c r="B194" s="334"/>
      <c r="C194" s="334"/>
      <c r="D194" s="334"/>
      <c r="E194" s="334"/>
      <c r="F194" s="334"/>
      <c r="G194" s="334"/>
      <c r="H194" s="334"/>
      <c r="I194" s="334"/>
      <c r="J194" s="334"/>
      <c r="K194" s="334"/>
      <c r="L194" s="334"/>
      <c r="M194" s="334"/>
      <c r="N194" s="334"/>
      <c r="O194" s="334"/>
      <c r="P194" s="334"/>
      <c r="Q194" s="334"/>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row>
    <row r="195" spans="1:52" ht="15.75" customHeight="1" x14ac:dyDescent="0.2">
      <c r="A195" s="379"/>
      <c r="B195" s="334"/>
      <c r="C195" s="334"/>
      <c r="D195" s="334"/>
      <c r="E195" s="334"/>
      <c r="F195" s="334"/>
      <c r="G195" s="334"/>
      <c r="H195" s="334"/>
      <c r="I195" s="334"/>
      <c r="J195" s="334"/>
      <c r="K195" s="334"/>
      <c r="L195" s="334"/>
      <c r="M195" s="334"/>
      <c r="N195" s="334"/>
      <c r="O195" s="334"/>
      <c r="P195" s="334"/>
      <c r="Q195" s="334"/>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row>
    <row r="196" spans="1:52" ht="0" hidden="1" customHeight="1" x14ac:dyDescent="0.2">
      <c r="A196" s="381"/>
      <c r="B196" s="328"/>
      <c r="C196" s="328"/>
      <c r="D196" s="328"/>
      <c r="E196" s="328"/>
      <c r="F196" s="328"/>
      <c r="G196" s="328"/>
      <c r="H196" s="328"/>
      <c r="I196" s="328"/>
      <c r="J196" s="328"/>
      <c r="K196" s="328"/>
      <c r="L196" s="328"/>
      <c r="M196" s="328"/>
      <c r="N196" s="328"/>
      <c r="O196" s="328"/>
      <c r="P196" s="328"/>
      <c r="Q196" s="328"/>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row>
    <row r="197" spans="1:52" ht="0" hidden="1" customHeight="1" x14ac:dyDescent="0.2">
      <c r="A197" s="381"/>
      <c r="B197" s="328"/>
      <c r="C197" s="328"/>
      <c r="D197" s="328"/>
      <c r="E197" s="328"/>
      <c r="F197" s="328"/>
      <c r="G197" s="328"/>
      <c r="H197" s="328"/>
      <c r="I197" s="328"/>
      <c r="J197" s="328"/>
      <c r="K197" s="328"/>
      <c r="L197" s="328"/>
      <c r="M197" s="328"/>
      <c r="N197" s="328"/>
      <c r="O197" s="328"/>
      <c r="P197" s="328"/>
      <c r="Q197" s="328"/>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row>
    <row r="198" spans="1:52" ht="0" hidden="1" customHeight="1" x14ac:dyDescent="0.2">
      <c r="A198" s="381"/>
      <c r="B198" s="328"/>
      <c r="C198" s="328"/>
      <c r="D198" s="328"/>
      <c r="E198" s="328"/>
      <c r="F198" s="328"/>
      <c r="G198" s="328"/>
      <c r="H198" s="328"/>
      <c r="I198" s="328"/>
      <c r="J198" s="328"/>
      <c r="K198" s="328"/>
      <c r="L198" s="328"/>
      <c r="M198" s="328"/>
      <c r="N198" s="328"/>
      <c r="O198" s="328"/>
      <c r="P198" s="328"/>
      <c r="Q198" s="328"/>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row>
    <row r="199" spans="1:52" ht="0" hidden="1" customHeight="1" x14ac:dyDescent="0.2">
      <c r="A199" s="381"/>
      <c r="B199" s="328"/>
      <c r="C199" s="328"/>
      <c r="D199" s="328"/>
      <c r="E199" s="328"/>
      <c r="F199" s="328"/>
      <c r="G199" s="328"/>
      <c r="H199" s="328"/>
      <c r="I199" s="328"/>
      <c r="J199" s="328"/>
      <c r="K199" s="328"/>
      <c r="L199" s="328"/>
      <c r="M199" s="328"/>
      <c r="N199" s="328"/>
      <c r="O199" s="328"/>
      <c r="P199" s="328"/>
      <c r="Q199" s="328"/>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row>
    <row r="200" spans="1:52" ht="0" hidden="1" customHeight="1" x14ac:dyDescent="0.2">
      <c r="A200" s="381"/>
      <c r="B200" s="328"/>
      <c r="C200" s="328"/>
      <c r="D200" s="328"/>
      <c r="E200" s="328"/>
      <c r="F200" s="328"/>
      <c r="G200" s="328"/>
      <c r="H200" s="328"/>
      <c r="I200" s="328"/>
      <c r="J200" s="328"/>
      <c r="K200" s="328"/>
      <c r="L200" s="328"/>
      <c r="M200" s="328"/>
      <c r="N200" s="328"/>
      <c r="O200" s="328"/>
      <c r="P200" s="328"/>
      <c r="Q200" s="328"/>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row>
  </sheetData>
  <sheetProtection formatCells="0" formatColumns="0" formatRows="0" autoFilter="0"/>
  <pageMargins left="0.75" right="0.75" top="1" bottom="1" header="0.5" footer="0.5"/>
  <pageSetup scale="49" orientation="portrait"/>
  <headerFooter alignWithMargins="0">
    <oddHeader>&amp;CSpring 2018 Exam 5 Make-Up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Z200"/>
  <sheetViews>
    <sheetView zoomScale="85" zoomScaleNormal="85" zoomScalePageLayoutView="90" workbookViewId="0"/>
  </sheetViews>
  <sheetFormatPr defaultColWidth="0" defaultRowHeight="0" customHeight="1" zeroHeight="1" x14ac:dyDescent="0.2"/>
  <cols>
    <col min="1" max="1" width="10.5" style="201" customWidth="1"/>
    <col min="2" max="2" width="13.75" style="201" customWidth="1"/>
    <col min="3" max="3" width="14.375" style="201" customWidth="1"/>
    <col min="4" max="4" width="14.25" style="201" customWidth="1"/>
    <col min="5" max="5" width="14" style="201" customWidth="1"/>
    <col min="6" max="6" width="14.125" style="201" customWidth="1"/>
    <col min="7" max="7" width="15.25" style="201" customWidth="1"/>
    <col min="8" max="9" width="14.25" style="201" customWidth="1"/>
    <col min="10" max="10" width="9.75" style="201" customWidth="1"/>
    <col min="11" max="11" width="13.375" style="201" customWidth="1"/>
    <col min="12" max="12" width="13.625" style="201" customWidth="1"/>
    <col min="13" max="13" width="8.875" style="201" customWidth="1"/>
    <col min="14" max="14" width="13.25" style="201" customWidth="1"/>
    <col min="15" max="49" width="8.875" style="201" customWidth="1"/>
    <col min="50" max="16384" width="8.875" style="201" hidden="1"/>
  </cols>
  <sheetData>
    <row r="1" spans="1:52" ht="15.75" customHeight="1" thickBot="1" x14ac:dyDescent="0.25">
      <c r="A1" s="1">
        <v>8</v>
      </c>
      <c r="B1" s="2"/>
      <c r="C1" s="283"/>
      <c r="D1" s="283"/>
      <c r="E1" s="283"/>
      <c r="F1" s="283"/>
      <c r="G1" s="283"/>
      <c r="H1" s="283"/>
      <c r="I1" s="283"/>
      <c r="J1" s="283"/>
      <c r="K1" s="283"/>
      <c r="L1" s="283"/>
      <c r="M1" s="283"/>
      <c r="N1" s="283"/>
      <c r="O1" s="284"/>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row>
    <row r="2" spans="1:52" ht="15.75" customHeight="1" x14ac:dyDescent="0.2">
      <c r="A2" s="38" t="s">
        <v>0</v>
      </c>
      <c r="B2" s="285"/>
      <c r="C2" s="285"/>
      <c r="D2" s="285"/>
      <c r="E2" s="285"/>
      <c r="F2" s="285"/>
      <c r="G2" s="285"/>
      <c r="H2" s="285"/>
      <c r="I2" s="285"/>
      <c r="J2" s="285"/>
      <c r="K2" s="285"/>
      <c r="L2" s="285"/>
      <c r="M2" s="285"/>
      <c r="N2" s="285"/>
      <c r="O2" s="286"/>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row>
    <row r="3" spans="1:52" ht="15.75" customHeight="1" x14ac:dyDescent="0.2">
      <c r="A3" s="42">
        <v>2</v>
      </c>
      <c r="B3" s="39"/>
      <c r="C3" s="285"/>
      <c r="D3" s="285"/>
      <c r="E3" s="285"/>
      <c r="F3" s="285"/>
      <c r="G3" s="285"/>
      <c r="H3" s="285"/>
      <c r="I3" s="285"/>
      <c r="J3" s="285"/>
      <c r="K3" s="285"/>
      <c r="L3" s="285"/>
      <c r="M3" s="285"/>
      <c r="N3" s="285"/>
      <c r="O3" s="286"/>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row>
    <row r="4" spans="1:52" ht="15.75" customHeight="1" x14ac:dyDescent="0.2">
      <c r="A4" s="42"/>
      <c r="B4" s="285" t="s">
        <v>305</v>
      </c>
      <c r="C4" s="285"/>
      <c r="D4" s="285"/>
      <c r="E4" s="285"/>
      <c r="F4" s="285"/>
      <c r="G4" s="285"/>
      <c r="H4" s="285"/>
      <c r="I4" s="285"/>
      <c r="J4" s="285"/>
      <c r="K4" s="285"/>
      <c r="L4" s="285"/>
      <c r="M4" s="285"/>
      <c r="N4" s="285"/>
      <c r="O4" s="286"/>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row>
    <row r="5" spans="1:52" ht="15.75" customHeight="1" x14ac:dyDescent="0.2">
      <c r="A5" s="42"/>
      <c r="B5" s="285" t="s">
        <v>306</v>
      </c>
      <c r="C5" s="285"/>
      <c r="D5" s="285"/>
      <c r="E5" s="285"/>
      <c r="F5" s="285"/>
      <c r="G5" s="285"/>
      <c r="H5" s="285"/>
      <c r="I5" s="285"/>
      <c r="J5" s="285"/>
      <c r="K5" s="285"/>
      <c r="L5" s="285"/>
      <c r="M5" s="285"/>
      <c r="N5" s="285"/>
      <c r="O5" s="286"/>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row>
    <row r="6" spans="1:52" ht="15.75" customHeight="1" thickBot="1" x14ac:dyDescent="0.25">
      <c r="A6" s="42"/>
      <c r="B6" s="287"/>
      <c r="C6" s="287"/>
      <c r="D6" s="287"/>
      <c r="E6" s="287"/>
      <c r="F6" s="287"/>
      <c r="G6" s="287"/>
      <c r="H6" s="287"/>
      <c r="I6" s="287"/>
      <c r="J6" s="287"/>
      <c r="K6" s="287"/>
      <c r="L6" s="287"/>
      <c r="M6" s="287"/>
      <c r="N6" s="287"/>
      <c r="O6" s="288"/>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row>
    <row r="7" spans="1:52" ht="15.75" customHeight="1" x14ac:dyDescent="0.2">
      <c r="A7" s="42"/>
      <c r="B7" s="292"/>
      <c r="C7" s="293" t="s">
        <v>307</v>
      </c>
      <c r="D7" s="293"/>
      <c r="E7" s="293" t="s">
        <v>308</v>
      </c>
      <c r="F7" s="293" t="s">
        <v>309</v>
      </c>
      <c r="G7" s="293" t="s">
        <v>309</v>
      </c>
      <c r="H7" s="293"/>
      <c r="I7" s="293"/>
      <c r="J7" s="293"/>
      <c r="K7" s="293"/>
      <c r="L7" s="293"/>
      <c r="M7" s="293"/>
      <c r="N7" s="294"/>
      <c r="O7" s="288"/>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row>
    <row r="8" spans="1:52" ht="15.75" customHeight="1" x14ac:dyDescent="0.2">
      <c r="A8" s="42"/>
      <c r="B8" s="295"/>
      <c r="C8" s="296" t="s">
        <v>310</v>
      </c>
      <c r="D8" s="296" t="s">
        <v>311</v>
      </c>
      <c r="E8" s="296" t="s">
        <v>312</v>
      </c>
      <c r="F8" s="296" t="s">
        <v>313</v>
      </c>
      <c r="G8" s="296" t="s">
        <v>313</v>
      </c>
      <c r="H8" s="296" t="s">
        <v>314</v>
      </c>
      <c r="I8" s="296" t="s">
        <v>315</v>
      </c>
      <c r="J8" s="296" t="s">
        <v>314</v>
      </c>
      <c r="K8" s="296" t="s">
        <v>316</v>
      </c>
      <c r="L8" s="296" t="s">
        <v>317</v>
      </c>
      <c r="M8" s="296" t="s">
        <v>318</v>
      </c>
      <c r="N8" s="297" t="s">
        <v>319</v>
      </c>
      <c r="O8" s="288"/>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row>
    <row r="9" spans="1:52" ht="15.75" customHeight="1" thickBot="1" x14ac:dyDescent="0.25">
      <c r="A9" s="42"/>
      <c r="B9" s="298" t="s">
        <v>320</v>
      </c>
      <c r="C9" s="299" t="s">
        <v>321</v>
      </c>
      <c r="D9" s="299" t="s">
        <v>322</v>
      </c>
      <c r="E9" s="299" t="s">
        <v>323</v>
      </c>
      <c r="F9" s="299" t="s">
        <v>324</v>
      </c>
      <c r="G9" s="299" t="s">
        <v>325</v>
      </c>
      <c r="H9" s="299" t="s">
        <v>188</v>
      </c>
      <c r="I9" s="299" t="s">
        <v>318</v>
      </c>
      <c r="J9" s="299" t="s">
        <v>318</v>
      </c>
      <c r="K9" s="300" t="s">
        <v>326</v>
      </c>
      <c r="L9" s="300" t="s">
        <v>326</v>
      </c>
      <c r="M9" s="300" t="s">
        <v>188</v>
      </c>
      <c r="N9" s="301" t="s">
        <v>327</v>
      </c>
      <c r="O9" s="288"/>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row>
    <row r="10" spans="1:52" ht="15.75" customHeight="1" x14ac:dyDescent="0.2">
      <c r="A10" s="42"/>
      <c r="B10" s="302" t="s">
        <v>6</v>
      </c>
      <c r="C10" s="303">
        <v>1212729</v>
      </c>
      <c r="D10" s="304">
        <v>1.0369999999999999</v>
      </c>
      <c r="E10" s="303">
        <v>1257600</v>
      </c>
      <c r="F10" s="303">
        <v>505300</v>
      </c>
      <c r="G10" s="305">
        <v>0.40200000000000002</v>
      </c>
      <c r="H10" s="305">
        <v>-0.35899999999999999</v>
      </c>
      <c r="I10" s="306">
        <v>1.5</v>
      </c>
      <c r="J10" s="306">
        <v>0.96</v>
      </c>
      <c r="K10" s="306">
        <v>1.93</v>
      </c>
      <c r="L10" s="306">
        <v>1.93</v>
      </c>
      <c r="M10" s="307">
        <v>0.28699999999999998</v>
      </c>
      <c r="N10" s="308">
        <v>-3.5000000000000003E-2</v>
      </c>
      <c r="O10" s="309"/>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row>
    <row r="11" spans="1:52" ht="15.75" customHeight="1" x14ac:dyDescent="0.2">
      <c r="A11" s="42"/>
      <c r="B11" s="310" t="s">
        <v>8</v>
      </c>
      <c r="C11" s="311">
        <v>995661</v>
      </c>
      <c r="D11" s="312">
        <v>1.0369999999999999</v>
      </c>
      <c r="E11" s="311">
        <v>1032500</v>
      </c>
      <c r="F11" s="311">
        <v>1134500</v>
      </c>
      <c r="G11" s="313">
        <v>1.099</v>
      </c>
      <c r="H11" s="313">
        <v>0.752</v>
      </c>
      <c r="I11" s="314">
        <v>1.25</v>
      </c>
      <c r="J11" s="314">
        <v>2.19</v>
      </c>
      <c r="K11" s="314">
        <v>4.4000000000000004</v>
      </c>
      <c r="L11" s="314">
        <v>2</v>
      </c>
      <c r="M11" s="315">
        <v>0.6</v>
      </c>
      <c r="N11" s="309">
        <v>0.19900000000000001</v>
      </c>
      <c r="O11" s="309"/>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row>
    <row r="12" spans="1:52" ht="15.75" customHeight="1" x14ac:dyDescent="0.2">
      <c r="A12" s="42"/>
      <c r="B12" s="310" t="s">
        <v>11</v>
      </c>
      <c r="C12" s="311">
        <v>622179</v>
      </c>
      <c r="D12" s="312">
        <v>1.0369999999999999</v>
      </c>
      <c r="E12" s="311">
        <v>645200</v>
      </c>
      <c r="F12" s="311">
        <v>201400</v>
      </c>
      <c r="G12" s="313">
        <v>0.312</v>
      </c>
      <c r="H12" s="313">
        <v>-0.502</v>
      </c>
      <c r="I12" s="314">
        <v>1</v>
      </c>
      <c r="J12" s="314">
        <v>0.5</v>
      </c>
      <c r="K12" s="314">
        <v>1</v>
      </c>
      <c r="L12" s="314">
        <v>1</v>
      </c>
      <c r="M12" s="315">
        <v>0</v>
      </c>
      <c r="N12" s="309">
        <v>-0.25</v>
      </c>
      <c r="O12" s="309"/>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row>
    <row r="13" spans="1:52" ht="15.75" customHeight="1" thickBot="1" x14ac:dyDescent="0.25">
      <c r="A13" s="42"/>
      <c r="B13" s="316" t="s">
        <v>25</v>
      </c>
      <c r="C13" s="317">
        <v>2830569</v>
      </c>
      <c r="D13" s="318">
        <v>1.0369999999999999</v>
      </c>
      <c r="E13" s="317">
        <v>2935300</v>
      </c>
      <c r="F13" s="317">
        <v>1841200</v>
      </c>
      <c r="G13" s="319">
        <v>0.627</v>
      </c>
      <c r="H13" s="319">
        <v>0</v>
      </c>
      <c r="I13" s="320"/>
      <c r="J13" s="320"/>
      <c r="K13" s="320"/>
      <c r="L13" s="320"/>
      <c r="M13" s="321">
        <v>0.33400000000000002</v>
      </c>
      <c r="N13" s="322">
        <v>0</v>
      </c>
      <c r="O13" s="309"/>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row>
    <row r="14" spans="1:52" ht="15.75" customHeight="1" x14ac:dyDescent="0.2">
      <c r="A14" s="42"/>
      <c r="B14" s="323"/>
      <c r="C14" s="287"/>
      <c r="D14" s="287"/>
      <c r="E14" s="323"/>
      <c r="F14" s="323"/>
      <c r="G14" s="323"/>
      <c r="H14" s="323"/>
      <c r="I14" s="323"/>
      <c r="J14" s="323"/>
      <c r="K14" s="287"/>
      <c r="L14" s="287"/>
      <c r="M14" s="287"/>
      <c r="N14" s="287"/>
      <c r="O14" s="288"/>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row>
    <row r="15" spans="1:52" ht="15.75" customHeight="1" x14ac:dyDescent="0.2">
      <c r="A15" s="42"/>
      <c r="B15" s="285" t="s">
        <v>328</v>
      </c>
      <c r="C15" s="287"/>
      <c r="D15" s="287"/>
      <c r="E15" s="287"/>
      <c r="F15" s="287"/>
      <c r="G15" s="287"/>
      <c r="H15" s="287"/>
      <c r="I15" s="287"/>
      <c r="J15" s="287"/>
      <c r="K15" s="287"/>
      <c r="L15" s="287"/>
      <c r="M15" s="287"/>
      <c r="N15" s="287"/>
      <c r="O15" s="288"/>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row>
    <row r="16" spans="1:52" ht="15.75" customHeight="1" x14ac:dyDescent="0.2">
      <c r="A16" s="42"/>
      <c r="B16" s="285" t="s">
        <v>329</v>
      </c>
      <c r="C16" s="287"/>
      <c r="D16" s="287"/>
      <c r="E16" s="287"/>
      <c r="F16" s="287"/>
      <c r="G16" s="287"/>
      <c r="H16" s="287"/>
      <c r="I16" s="287"/>
      <c r="J16" s="287"/>
      <c r="K16" s="287"/>
      <c r="L16" s="287"/>
      <c r="M16" s="287"/>
      <c r="N16" s="287"/>
      <c r="O16" s="288"/>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row>
    <row r="17" spans="1:52" ht="15.75" customHeight="1" x14ac:dyDescent="0.2">
      <c r="A17" s="42"/>
      <c r="B17" s="285" t="s">
        <v>330</v>
      </c>
      <c r="C17" s="287"/>
      <c r="D17" s="287"/>
      <c r="E17" s="287"/>
      <c r="F17" s="287"/>
      <c r="G17" s="287"/>
      <c r="H17" s="287"/>
      <c r="I17" s="287"/>
      <c r="J17" s="287"/>
      <c r="K17" s="287"/>
      <c r="L17" s="287"/>
      <c r="M17" s="287"/>
      <c r="N17" s="287"/>
      <c r="O17" s="288"/>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row>
    <row r="18" spans="1:52" ht="15.75" customHeight="1" x14ac:dyDescent="0.2">
      <c r="A18" s="324"/>
      <c r="B18" s="285" t="s">
        <v>331</v>
      </c>
      <c r="C18" s="287"/>
      <c r="D18" s="287"/>
      <c r="E18" s="287"/>
      <c r="F18" s="287"/>
      <c r="G18" s="287"/>
      <c r="H18" s="287"/>
      <c r="I18" s="287"/>
      <c r="J18" s="287"/>
      <c r="K18" s="287"/>
      <c r="L18" s="287"/>
      <c r="M18" s="287"/>
      <c r="N18" s="287"/>
      <c r="O18" s="288"/>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row>
    <row r="19" spans="1:52" ht="15.75" customHeight="1" x14ac:dyDescent="0.2">
      <c r="A19" s="42"/>
      <c r="B19" s="285" t="s">
        <v>332</v>
      </c>
      <c r="C19" s="287"/>
      <c r="D19" s="287"/>
      <c r="E19" s="287"/>
      <c r="F19" s="287"/>
      <c r="G19" s="287"/>
      <c r="H19" s="287"/>
      <c r="I19" s="287"/>
      <c r="J19" s="287"/>
      <c r="K19" s="287"/>
      <c r="L19" s="287"/>
      <c r="M19" s="287"/>
      <c r="N19" s="287"/>
      <c r="O19" s="288"/>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row>
    <row r="20" spans="1:52" ht="15.75" customHeight="1" x14ac:dyDescent="0.2">
      <c r="A20" s="42"/>
      <c r="B20" s="285"/>
      <c r="C20" s="287"/>
      <c r="D20" s="287"/>
      <c r="E20" s="287"/>
      <c r="F20" s="287"/>
      <c r="G20" s="287"/>
      <c r="H20" s="287"/>
      <c r="I20" s="287"/>
      <c r="J20" s="287"/>
      <c r="K20" s="287"/>
      <c r="L20" s="287"/>
      <c r="M20" s="287"/>
      <c r="N20" s="287"/>
      <c r="O20" s="288"/>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row>
    <row r="21" spans="1:52" ht="15.75" customHeight="1" x14ac:dyDescent="0.2">
      <c r="A21" s="42"/>
      <c r="B21" s="285" t="s">
        <v>333</v>
      </c>
      <c r="C21" s="285"/>
      <c r="D21" s="285"/>
      <c r="E21" s="285"/>
      <c r="F21" s="285"/>
      <c r="G21" s="285"/>
      <c r="H21" s="285"/>
      <c r="I21" s="285"/>
      <c r="J21" s="285"/>
      <c r="K21" s="285"/>
      <c r="L21" s="285"/>
      <c r="M21" s="285"/>
      <c r="N21" s="285"/>
      <c r="O21" s="286"/>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row>
    <row r="22" spans="1:52" ht="15.75" customHeight="1" thickBot="1" x14ac:dyDescent="0.25">
      <c r="A22" s="75"/>
      <c r="B22" s="325"/>
      <c r="C22" s="289"/>
      <c r="D22" s="289"/>
      <c r="E22" s="289"/>
      <c r="F22" s="289"/>
      <c r="G22" s="289"/>
      <c r="H22" s="289"/>
      <c r="I22" s="289"/>
      <c r="J22" s="289"/>
      <c r="K22" s="289"/>
      <c r="L22" s="289"/>
      <c r="M22" s="289"/>
      <c r="N22" s="289"/>
      <c r="O22" s="29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row>
    <row r="23" spans="1:52" ht="15.75" customHeight="1" x14ac:dyDescent="0.2">
      <c r="A23" s="260"/>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row>
    <row r="24" spans="1:52" ht="15.75" customHeight="1" x14ac:dyDescent="0.2">
      <c r="A24" s="260"/>
      <c r="B24" s="326" t="s">
        <v>356</v>
      </c>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row>
    <row r="25" spans="1:52" ht="15.75" customHeight="1" x14ac:dyDescent="0.2">
      <c r="A25" s="260"/>
      <c r="B25" s="326" t="s">
        <v>357</v>
      </c>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row>
    <row r="26" spans="1:52" ht="15.75" customHeight="1" x14ac:dyDescent="0.2">
      <c r="A26" s="260"/>
      <c r="B26" s="326" t="s">
        <v>358</v>
      </c>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row>
    <row r="27" spans="1:52" ht="15.75" customHeight="1" x14ac:dyDescent="0.2">
      <c r="A27" s="260"/>
      <c r="B27" s="326" t="s">
        <v>359</v>
      </c>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row>
    <row r="28" spans="1:52" ht="15.75" customHeight="1" x14ac:dyDescent="0.2">
      <c r="A28" s="260"/>
      <c r="B28" s="200"/>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row>
    <row r="29" spans="1:52" ht="15.75" customHeight="1" x14ac:dyDescent="0.2">
      <c r="A29" s="260"/>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row>
    <row r="30" spans="1:52" ht="15.75" customHeight="1" x14ac:dyDescent="0.2">
      <c r="A30" s="260"/>
      <c r="B30" s="200"/>
      <c r="C30" s="200"/>
      <c r="D30" s="200"/>
      <c r="E30" s="200"/>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row>
    <row r="31" spans="1:52" ht="15.75" customHeight="1" x14ac:dyDescent="0.2">
      <c r="A31" s="260"/>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row>
    <row r="32" spans="1:52" ht="15.75" customHeight="1" x14ac:dyDescent="0.2">
      <c r="A32" s="260"/>
      <c r="B32" s="200"/>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row>
    <row r="33" spans="1:52" ht="15.75" customHeight="1" x14ac:dyDescent="0.2">
      <c r="A33" s="260"/>
      <c r="B33" s="200"/>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row>
    <row r="34" spans="1:52" ht="15.75" customHeight="1" x14ac:dyDescent="0.2">
      <c r="A34" s="26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row>
    <row r="35" spans="1:52" ht="15.75" customHeight="1" x14ac:dyDescent="0.2">
      <c r="A35" s="260"/>
      <c r="B35" s="200"/>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row>
    <row r="36" spans="1:52" ht="15.75" customHeight="1" x14ac:dyDescent="0.2">
      <c r="A36" s="260"/>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row>
    <row r="37" spans="1:52" ht="15.75" customHeight="1" x14ac:dyDescent="0.2">
      <c r="A37" s="260"/>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row>
    <row r="38" spans="1:52" ht="15.75" customHeight="1" x14ac:dyDescent="0.2">
      <c r="A38" s="26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row>
    <row r="39" spans="1:52" ht="15.75" customHeight="1" x14ac:dyDescent="0.2">
      <c r="A39" s="26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row>
    <row r="40" spans="1:52" ht="15.75" customHeight="1" x14ac:dyDescent="0.2">
      <c r="A40" s="26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row>
    <row r="41" spans="1:52" ht="15.75" customHeight="1" x14ac:dyDescent="0.2">
      <c r="A41" s="26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row>
    <row r="42" spans="1:52" ht="15.75" customHeight="1" x14ac:dyDescent="0.2">
      <c r="A42" s="26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row>
    <row r="43" spans="1:52" ht="15.75" customHeight="1" x14ac:dyDescent="0.2">
      <c r="A43" s="26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row>
    <row r="44" spans="1:52" ht="15.75" customHeight="1" x14ac:dyDescent="0.2">
      <c r="A44" s="26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row>
    <row r="45" spans="1:52" ht="15.75" customHeight="1" x14ac:dyDescent="0.2">
      <c r="A45" s="260"/>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row>
    <row r="46" spans="1:52" ht="15.75" customHeight="1" x14ac:dyDescent="0.2">
      <c r="A46" s="26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row>
    <row r="47" spans="1:52" ht="15.75" customHeight="1" x14ac:dyDescent="0.2">
      <c r="A47" s="260"/>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row>
    <row r="48" spans="1:52" ht="15.75" customHeight="1" x14ac:dyDescent="0.2">
      <c r="A48" s="260"/>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row>
    <row r="49" spans="1:52" ht="15.75" customHeight="1" x14ac:dyDescent="0.2">
      <c r="A49" s="260"/>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row>
    <row r="50" spans="1:52" ht="15.75" customHeight="1" x14ac:dyDescent="0.2">
      <c r="A50" s="260"/>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row>
    <row r="51" spans="1:52" ht="15.75" customHeight="1" x14ac:dyDescent="0.2">
      <c r="A51" s="260"/>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row>
    <row r="52" spans="1:52" ht="15.75" customHeight="1" x14ac:dyDescent="0.2">
      <c r="A52" s="260"/>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row>
    <row r="53" spans="1:52" ht="15.75" customHeight="1" x14ac:dyDescent="0.2">
      <c r="A53" s="26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row>
    <row r="54" spans="1:52" ht="15.75" customHeight="1" x14ac:dyDescent="0.2">
      <c r="A54" s="260"/>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row>
    <row r="55" spans="1:52" ht="15.75" customHeight="1" x14ac:dyDescent="0.2">
      <c r="A55" s="26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row>
    <row r="56" spans="1:52" ht="15.75" customHeight="1" x14ac:dyDescent="0.2">
      <c r="A56" s="26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row>
    <row r="57" spans="1:52" ht="15.75" customHeight="1" x14ac:dyDescent="0.2">
      <c r="A57" s="26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row>
    <row r="58" spans="1:52" ht="15.75" customHeight="1" x14ac:dyDescent="0.2">
      <c r="A58" s="26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row>
    <row r="59" spans="1:52" ht="15.75" customHeight="1" x14ac:dyDescent="0.2">
      <c r="A59" s="26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row>
    <row r="60" spans="1:52" ht="15.75" customHeight="1" x14ac:dyDescent="0.2">
      <c r="A60" s="26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row>
    <row r="61" spans="1:52" ht="15.75" customHeight="1" x14ac:dyDescent="0.2">
      <c r="A61" s="26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row>
    <row r="62" spans="1:52" ht="15.75" customHeight="1" x14ac:dyDescent="0.2">
      <c r="A62" s="26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row>
    <row r="63" spans="1:52" ht="15.75" customHeight="1" x14ac:dyDescent="0.2">
      <c r="A63" s="26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row>
    <row r="64" spans="1:52" ht="15.75" customHeight="1" x14ac:dyDescent="0.2">
      <c r="A64" s="26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row>
    <row r="65" spans="1:52" ht="15.75" customHeight="1" x14ac:dyDescent="0.2">
      <c r="A65" s="26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row>
    <row r="66" spans="1:52" ht="15.75" customHeight="1" x14ac:dyDescent="0.2">
      <c r="A66" s="26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row>
    <row r="67" spans="1:52" ht="15.75" customHeight="1" x14ac:dyDescent="0.2">
      <c r="A67" s="260"/>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row>
    <row r="68" spans="1:52" ht="15.75" customHeight="1" x14ac:dyDescent="0.2">
      <c r="A68" s="26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row>
    <row r="69" spans="1:52" ht="15.75" customHeight="1" x14ac:dyDescent="0.2">
      <c r="A69" s="26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row>
    <row r="70" spans="1:52" ht="15.75" customHeight="1" x14ac:dyDescent="0.2">
      <c r="A70" s="26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row>
    <row r="71" spans="1:52" ht="15.75" customHeight="1" x14ac:dyDescent="0.2">
      <c r="A71" s="26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row>
    <row r="72" spans="1:52" ht="15.75" customHeight="1" x14ac:dyDescent="0.2">
      <c r="A72" s="26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row>
    <row r="73" spans="1:52" ht="15.75" customHeight="1" x14ac:dyDescent="0.2">
      <c r="A73" s="26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row>
    <row r="74" spans="1:52" ht="15.75" customHeight="1" x14ac:dyDescent="0.2">
      <c r="A74" s="26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row>
    <row r="75" spans="1:52" ht="15.75" customHeight="1" x14ac:dyDescent="0.2">
      <c r="A75" s="26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row>
    <row r="76" spans="1:52" ht="15.75" customHeight="1" x14ac:dyDescent="0.2">
      <c r="A76" s="26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row>
    <row r="77" spans="1:52" ht="15.75" customHeight="1" x14ac:dyDescent="0.2">
      <c r="A77" s="26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row>
    <row r="78" spans="1:52" ht="15.75" customHeight="1" x14ac:dyDescent="0.2">
      <c r="A78" s="26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row>
    <row r="79" spans="1:52" ht="15.75" customHeight="1" x14ac:dyDescent="0.2">
      <c r="A79" s="26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row>
    <row r="80" spans="1:52" ht="15.75" customHeight="1" x14ac:dyDescent="0.2">
      <c r="A80" s="26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row>
    <row r="81" spans="1:52" ht="15.75" customHeight="1" x14ac:dyDescent="0.2">
      <c r="A81" s="26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row>
    <row r="82" spans="1:52" ht="15.75" customHeight="1" x14ac:dyDescent="0.2">
      <c r="A82" s="26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row>
    <row r="83" spans="1:52" ht="15.75" customHeight="1" x14ac:dyDescent="0.2">
      <c r="A83" s="26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row>
    <row r="84" spans="1:52" ht="15.75" customHeight="1" x14ac:dyDescent="0.2">
      <c r="A84" s="26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row>
    <row r="85" spans="1:52" ht="15.75" customHeight="1" x14ac:dyDescent="0.2">
      <c r="A85" s="26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row>
    <row r="86" spans="1:52" ht="15.75" customHeight="1" x14ac:dyDescent="0.2">
      <c r="A86" s="26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row>
    <row r="87" spans="1:52" ht="15.75" customHeight="1" x14ac:dyDescent="0.2">
      <c r="A87" s="26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row>
    <row r="88" spans="1:52" ht="15.75" customHeight="1" x14ac:dyDescent="0.2">
      <c r="A88" s="26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row>
    <row r="89" spans="1:52" ht="15.75" customHeight="1" x14ac:dyDescent="0.2">
      <c r="A89" s="26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row>
    <row r="90" spans="1:52" ht="15.75" customHeight="1" x14ac:dyDescent="0.2">
      <c r="A90" s="26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row>
    <row r="91" spans="1:52" ht="15.75" customHeight="1" x14ac:dyDescent="0.2">
      <c r="A91" s="26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row>
    <row r="92" spans="1:52" ht="15.75" customHeight="1" x14ac:dyDescent="0.2">
      <c r="A92" s="26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row>
    <row r="93" spans="1:52" ht="15.75" customHeight="1" x14ac:dyDescent="0.2">
      <c r="A93" s="26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row>
    <row r="94" spans="1:52" ht="15.75" customHeight="1" x14ac:dyDescent="0.2">
      <c r="A94" s="26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row>
    <row r="95" spans="1:52" ht="15.75" customHeight="1" x14ac:dyDescent="0.2">
      <c r="A95" s="26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row>
    <row r="96" spans="1:52" ht="15.75" customHeight="1" x14ac:dyDescent="0.2">
      <c r="A96" s="26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row>
    <row r="97" spans="1:52" ht="15.75" customHeight="1" x14ac:dyDescent="0.2">
      <c r="A97" s="26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row>
    <row r="98" spans="1:52" ht="15.75" customHeight="1" x14ac:dyDescent="0.2">
      <c r="A98" s="26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row>
    <row r="99" spans="1:52" ht="15.75" customHeight="1" x14ac:dyDescent="0.2">
      <c r="A99" s="26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row>
    <row r="100" spans="1:52" ht="15.75" customHeight="1" x14ac:dyDescent="0.2">
      <c r="A100" s="26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row>
    <row r="101" spans="1:52" ht="15.75" customHeight="1" x14ac:dyDescent="0.2">
      <c r="A101" s="26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row>
    <row r="102" spans="1:52" ht="15.75" customHeight="1" x14ac:dyDescent="0.2">
      <c r="A102" s="26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row>
    <row r="103" spans="1:52" ht="15.75" customHeight="1" x14ac:dyDescent="0.2">
      <c r="A103" s="26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row>
    <row r="104" spans="1:52" ht="15.75" customHeight="1" x14ac:dyDescent="0.2">
      <c r="A104" s="26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row>
    <row r="105" spans="1:52" ht="15.75" customHeight="1" x14ac:dyDescent="0.2">
      <c r="A105" s="26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row>
    <row r="106" spans="1:52" ht="15.75" customHeight="1" x14ac:dyDescent="0.2">
      <c r="A106" s="26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row>
    <row r="107" spans="1:52" ht="15.75" customHeight="1" x14ac:dyDescent="0.2">
      <c r="A107" s="26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row>
    <row r="108" spans="1:52" ht="15.75" customHeight="1" x14ac:dyDescent="0.2">
      <c r="A108" s="26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row>
    <row r="109" spans="1:52" ht="15.75" customHeight="1" x14ac:dyDescent="0.2">
      <c r="A109" s="26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row>
    <row r="110" spans="1:52" ht="15.75" customHeight="1" x14ac:dyDescent="0.2">
      <c r="A110" s="26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row>
    <row r="111" spans="1:52" ht="15.75" customHeight="1" x14ac:dyDescent="0.2">
      <c r="A111" s="26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row>
    <row r="112" spans="1:52" ht="15.75" customHeight="1" x14ac:dyDescent="0.2">
      <c r="A112" s="26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row>
    <row r="113" spans="1:52" ht="15.75" customHeight="1" x14ac:dyDescent="0.2">
      <c r="A113" s="26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row>
    <row r="114" spans="1:52" ht="15.75" customHeight="1" x14ac:dyDescent="0.2">
      <c r="A114" s="26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row>
    <row r="115" spans="1:52" ht="15.75" customHeight="1" x14ac:dyDescent="0.2">
      <c r="A115" s="26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row>
    <row r="116" spans="1:52" ht="15.75" customHeight="1" x14ac:dyDescent="0.2">
      <c r="A116" s="26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row>
    <row r="117" spans="1:52" ht="15.75" customHeight="1" x14ac:dyDescent="0.2">
      <c r="A117" s="26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row>
    <row r="118" spans="1:52" ht="15.75" customHeight="1" x14ac:dyDescent="0.2">
      <c r="A118" s="26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row>
    <row r="119" spans="1:52" ht="15.75" customHeight="1" x14ac:dyDescent="0.2">
      <c r="A119" s="26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row>
    <row r="120" spans="1:52" ht="15.75" customHeight="1" x14ac:dyDescent="0.2">
      <c r="A120" s="26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row>
    <row r="121" spans="1:52" ht="15.75" customHeight="1" x14ac:dyDescent="0.2">
      <c r="A121" s="26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row>
    <row r="122" spans="1:52" ht="15.75" customHeight="1" x14ac:dyDescent="0.2">
      <c r="A122" s="26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row>
    <row r="123" spans="1:52" ht="15.75" customHeight="1" x14ac:dyDescent="0.2">
      <c r="A123" s="26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row>
    <row r="124" spans="1:52" ht="15.75" customHeight="1" x14ac:dyDescent="0.2">
      <c r="A124" s="26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row>
    <row r="125" spans="1:52" ht="15.75" customHeight="1" x14ac:dyDescent="0.2">
      <c r="A125" s="26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row>
    <row r="126" spans="1:52" ht="15.75" customHeight="1" x14ac:dyDescent="0.2">
      <c r="A126" s="26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row>
    <row r="127" spans="1:52" ht="15.75" customHeight="1" x14ac:dyDescent="0.2">
      <c r="A127" s="26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row>
    <row r="128" spans="1:52" ht="15.75" customHeight="1" x14ac:dyDescent="0.2">
      <c r="A128" s="26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row>
    <row r="129" spans="1:52" ht="15.75" customHeight="1" x14ac:dyDescent="0.2">
      <c r="A129" s="26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row>
    <row r="130" spans="1:52" ht="15.75" customHeight="1" x14ac:dyDescent="0.2">
      <c r="A130" s="26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row>
    <row r="131" spans="1:52" ht="15.75" customHeight="1" x14ac:dyDescent="0.2">
      <c r="A131" s="26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row>
    <row r="132" spans="1:52" ht="15.75" customHeight="1" x14ac:dyDescent="0.2">
      <c r="A132" s="26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row>
    <row r="133" spans="1:52" ht="15.75" customHeight="1" x14ac:dyDescent="0.2">
      <c r="A133" s="26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row>
    <row r="134" spans="1:52" ht="15.75" customHeight="1" x14ac:dyDescent="0.2">
      <c r="A134" s="26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row>
    <row r="135" spans="1:52" ht="15.75" customHeight="1" x14ac:dyDescent="0.2">
      <c r="A135" s="26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row>
    <row r="136" spans="1:52" ht="15.75" customHeight="1" x14ac:dyDescent="0.2">
      <c r="A136" s="26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row>
    <row r="137" spans="1:52" ht="15.75" customHeight="1" x14ac:dyDescent="0.2">
      <c r="A137" s="26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row>
    <row r="138" spans="1:52" ht="15.75" customHeight="1" x14ac:dyDescent="0.2">
      <c r="A138" s="26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row>
    <row r="139" spans="1:52" ht="15.75" customHeight="1" x14ac:dyDescent="0.2">
      <c r="A139" s="26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row>
    <row r="140" spans="1:52" ht="15.75" customHeight="1" x14ac:dyDescent="0.2">
      <c r="A140" s="26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row>
    <row r="141" spans="1:52" ht="15.75" customHeight="1" x14ac:dyDescent="0.2">
      <c r="A141" s="26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row>
    <row r="142" spans="1:52" ht="15.75" customHeight="1" x14ac:dyDescent="0.2">
      <c r="A142" s="26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row>
    <row r="143" spans="1:52" ht="15.75" customHeight="1" x14ac:dyDescent="0.2">
      <c r="A143" s="26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row>
    <row r="144" spans="1:52" ht="15.75" customHeight="1" x14ac:dyDescent="0.2">
      <c r="A144" s="26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row>
    <row r="145" spans="1:52" ht="15.75" customHeight="1" x14ac:dyDescent="0.2">
      <c r="A145" s="26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row>
    <row r="146" spans="1:52" ht="15.75" customHeight="1" x14ac:dyDescent="0.2">
      <c r="A146" s="26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row>
    <row r="147" spans="1:52" ht="15.75" customHeight="1" x14ac:dyDescent="0.2">
      <c r="A147" s="26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row>
    <row r="148" spans="1:52" ht="15.75" customHeight="1" x14ac:dyDescent="0.2">
      <c r="A148" s="26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row>
    <row r="149" spans="1:52" ht="15.75" customHeight="1" x14ac:dyDescent="0.2">
      <c r="A149" s="26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row>
    <row r="150" spans="1:52" ht="15.75" customHeight="1" x14ac:dyDescent="0.2">
      <c r="A150" s="26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row>
    <row r="151" spans="1:52" ht="15.75" customHeight="1" x14ac:dyDescent="0.2">
      <c r="A151" s="26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row>
    <row r="152" spans="1:52" ht="15.75" customHeight="1" x14ac:dyDescent="0.2">
      <c r="A152" s="26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row>
    <row r="153" spans="1:52" ht="15.75" customHeight="1" x14ac:dyDescent="0.2">
      <c r="A153" s="26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row>
    <row r="154" spans="1:52" ht="15.75" customHeight="1" x14ac:dyDescent="0.2">
      <c r="A154" s="26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row>
    <row r="155" spans="1:52" ht="15.75" customHeight="1" x14ac:dyDescent="0.2">
      <c r="A155" s="26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row>
    <row r="156" spans="1:52" ht="15.75" customHeight="1" x14ac:dyDescent="0.2">
      <c r="A156" s="26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row>
    <row r="157" spans="1:52" ht="15.75" customHeight="1" x14ac:dyDescent="0.2">
      <c r="A157" s="26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row>
    <row r="158" spans="1:52" ht="15.75" customHeight="1" x14ac:dyDescent="0.2">
      <c r="A158" s="26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row>
    <row r="159" spans="1:52" ht="15.75" customHeight="1" x14ac:dyDescent="0.2">
      <c r="A159" s="26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row>
    <row r="160" spans="1:52" ht="15.75" customHeight="1" x14ac:dyDescent="0.2">
      <c r="A160" s="26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row>
    <row r="161" spans="1:52" ht="15.75" customHeight="1" x14ac:dyDescent="0.2">
      <c r="A161" s="26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row>
    <row r="162" spans="1:52" ht="15.75" customHeight="1" x14ac:dyDescent="0.2">
      <c r="A162" s="26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row>
    <row r="163" spans="1:52" ht="15.75" customHeight="1" x14ac:dyDescent="0.2">
      <c r="A163" s="26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row>
    <row r="164" spans="1:52" ht="15.75" customHeight="1" x14ac:dyDescent="0.2">
      <c r="A164" s="26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row>
    <row r="165" spans="1:52" ht="15.75" customHeight="1" x14ac:dyDescent="0.2">
      <c r="A165" s="26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row>
    <row r="166" spans="1:52" ht="15.75" customHeight="1" x14ac:dyDescent="0.2">
      <c r="A166" s="26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row>
    <row r="167" spans="1:52" ht="15.75" customHeight="1" x14ac:dyDescent="0.2">
      <c r="A167" s="26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row>
    <row r="168" spans="1:52" ht="15.75" customHeight="1" x14ac:dyDescent="0.2">
      <c r="A168" s="26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row>
    <row r="169" spans="1:52" ht="15.75" customHeight="1" x14ac:dyDescent="0.2">
      <c r="A169" s="26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row>
    <row r="170" spans="1:52" ht="15.75" customHeight="1" x14ac:dyDescent="0.2">
      <c r="A170" s="26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row>
    <row r="171" spans="1:52" ht="15.75" customHeight="1" x14ac:dyDescent="0.2">
      <c r="A171" s="26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row>
    <row r="172" spans="1:52" ht="15.75" customHeight="1" x14ac:dyDescent="0.2">
      <c r="A172" s="26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row>
    <row r="173" spans="1:52" ht="15.75" customHeight="1" x14ac:dyDescent="0.2">
      <c r="A173" s="26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row>
    <row r="174" spans="1:52" ht="15.75" customHeight="1" x14ac:dyDescent="0.2">
      <c r="A174" s="26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row>
    <row r="175" spans="1:52" ht="15.75" customHeight="1" x14ac:dyDescent="0.2">
      <c r="A175" s="26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row>
    <row r="176" spans="1:52" ht="15.75" customHeight="1" x14ac:dyDescent="0.2">
      <c r="A176" s="26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row>
    <row r="177" spans="1:52" ht="15.75" customHeight="1" x14ac:dyDescent="0.2">
      <c r="A177" s="26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row>
    <row r="178" spans="1:52" ht="15.75" customHeight="1" x14ac:dyDescent="0.2">
      <c r="A178" s="26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row>
    <row r="179" spans="1:52" ht="15.75" customHeight="1" x14ac:dyDescent="0.2">
      <c r="A179" s="26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row>
    <row r="180" spans="1:52" ht="15.75" customHeight="1" x14ac:dyDescent="0.2">
      <c r="A180" s="26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row>
    <row r="181" spans="1:52" ht="15.75" customHeight="1" x14ac:dyDescent="0.2">
      <c r="A181" s="26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row>
    <row r="182" spans="1:52" ht="15.75" customHeight="1" x14ac:dyDescent="0.2">
      <c r="A182" s="26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row>
    <row r="183" spans="1:52" ht="15.75" customHeight="1" x14ac:dyDescent="0.2">
      <c r="A183" s="26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row>
    <row r="184" spans="1:52" ht="15.75" customHeight="1" x14ac:dyDescent="0.2">
      <c r="A184" s="26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row>
    <row r="185" spans="1:52" ht="15.75" customHeight="1" x14ac:dyDescent="0.2">
      <c r="A185" s="26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row>
    <row r="186" spans="1:52" ht="15.75" customHeight="1" x14ac:dyDescent="0.2">
      <c r="A186" s="26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row>
    <row r="187" spans="1:52" ht="15.75" customHeight="1" x14ac:dyDescent="0.2">
      <c r="A187" s="26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row>
    <row r="188" spans="1:52" ht="15.75" customHeight="1" x14ac:dyDescent="0.2">
      <c r="A188" s="26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row>
    <row r="189" spans="1:52" ht="15.75" customHeight="1" x14ac:dyDescent="0.2">
      <c r="A189" s="26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row>
    <row r="190" spans="1:52" ht="15.75" customHeight="1" x14ac:dyDescent="0.2">
      <c r="A190" s="26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row>
    <row r="191" spans="1:52" ht="15.75" customHeight="1" x14ac:dyDescent="0.2">
      <c r="A191" s="26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row>
    <row r="192" spans="1:52" ht="15.75" customHeight="1" x14ac:dyDescent="0.2">
      <c r="A192" s="26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row>
    <row r="193" spans="1:52" ht="15.75" customHeight="1" x14ac:dyDescent="0.2">
      <c r="A193" s="26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row>
    <row r="194" spans="1:52" ht="15.75" customHeight="1" x14ac:dyDescent="0.2">
      <c r="A194" s="26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row>
    <row r="195" spans="1:52" ht="15.75" customHeight="1" x14ac:dyDescent="0.2">
      <c r="A195" s="26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row>
    <row r="196" spans="1:52" ht="0" hidden="1" customHeight="1" x14ac:dyDescent="0.2">
      <c r="A196" s="262"/>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row>
    <row r="197" spans="1:52" ht="0" hidden="1" customHeight="1" x14ac:dyDescent="0.2">
      <c r="A197" s="262"/>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row>
    <row r="198" spans="1:52" ht="0" hidden="1" customHeight="1" x14ac:dyDescent="0.2">
      <c r="A198" s="262"/>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row>
    <row r="199" spans="1:52" ht="0" hidden="1" customHeight="1" x14ac:dyDescent="0.2">
      <c r="A199" s="262"/>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row>
    <row r="200" spans="1:52" ht="0" hidden="1" customHeight="1" x14ac:dyDescent="0.2">
      <c r="A200" s="262"/>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row>
  </sheetData>
  <sheetProtection formatCells="0" formatColumns="0" formatRows="0" autoFilter="0"/>
  <pageMargins left="0.75" right="0.75" top="1" bottom="1" header="0.5" footer="0.5"/>
  <pageSetup scale="49" orientation="portrait"/>
  <headerFooter alignWithMargins="0">
    <oddHeader>&amp;CSpring 2018 Exam 5 Make-Up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205"/>
  <sheetViews>
    <sheetView zoomScale="90" zoomScaleNormal="90" workbookViewId="0"/>
  </sheetViews>
  <sheetFormatPr defaultColWidth="0" defaultRowHeight="15" zeroHeight="1" x14ac:dyDescent="0.25"/>
  <cols>
    <col min="1" max="5" width="12" style="37" customWidth="1"/>
    <col min="6" max="7" width="9.375" style="37" customWidth="1"/>
    <col min="8" max="8" width="12.875" style="37" customWidth="1"/>
    <col min="9" max="49" width="9.375" style="37" customWidth="1"/>
    <col min="50" max="16384" width="9.375" style="37" hidden="1"/>
  </cols>
  <sheetData>
    <row r="1" spans="1:52" ht="15.75" thickBot="1" x14ac:dyDescent="0.3">
      <c r="A1" s="1">
        <v>9</v>
      </c>
      <c r="B1" s="2"/>
      <c r="C1" s="283"/>
      <c r="D1" s="283"/>
      <c r="E1" s="283"/>
      <c r="F1" s="283"/>
      <c r="G1" s="283"/>
      <c r="H1" s="284"/>
      <c r="I1" s="8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285"/>
      <c r="C2" s="285"/>
      <c r="D2" s="285"/>
      <c r="E2" s="285"/>
      <c r="F2" s="285"/>
      <c r="G2" s="285"/>
      <c r="H2" s="286"/>
      <c r="I2" s="82"/>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1.5</v>
      </c>
      <c r="B3" s="39"/>
      <c r="C3" s="285"/>
      <c r="D3" s="285"/>
      <c r="E3" s="285"/>
      <c r="F3" s="285"/>
      <c r="G3" s="285"/>
      <c r="H3" s="286"/>
      <c r="I3" s="82"/>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382" t="s">
        <v>360</v>
      </c>
      <c r="C4" s="285"/>
      <c r="D4" s="285"/>
      <c r="E4" s="285"/>
      <c r="F4" s="285"/>
      <c r="G4" s="285"/>
      <c r="H4" s="286"/>
      <c r="I4" s="82"/>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383"/>
      <c r="C5" s="383"/>
      <c r="D5" s="383"/>
      <c r="E5" s="382"/>
      <c r="F5" s="384"/>
      <c r="G5" s="285"/>
      <c r="H5" s="286"/>
      <c r="I5" s="82"/>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36" customHeight="1" thickBot="1" x14ac:dyDescent="0.3">
      <c r="A6" s="42"/>
      <c r="B6" s="385" t="s">
        <v>361</v>
      </c>
      <c r="C6" s="386" t="s">
        <v>320</v>
      </c>
      <c r="D6" s="386" t="s">
        <v>362</v>
      </c>
      <c r="E6" s="387" t="s">
        <v>363</v>
      </c>
      <c r="F6" s="388" t="s">
        <v>364</v>
      </c>
      <c r="G6" s="285"/>
      <c r="H6" s="286"/>
      <c r="I6" s="82"/>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389" t="s">
        <v>6</v>
      </c>
      <c r="C7" s="390">
        <v>1</v>
      </c>
      <c r="D7" s="391">
        <v>200</v>
      </c>
      <c r="E7" s="391">
        <v>7000</v>
      </c>
      <c r="F7" s="392">
        <v>35</v>
      </c>
      <c r="G7" s="285"/>
      <c r="H7" s="286"/>
      <c r="I7" s="82"/>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thickBot="1" x14ac:dyDescent="0.3">
      <c r="A8" s="42"/>
      <c r="B8" s="393"/>
      <c r="C8" s="394">
        <v>2</v>
      </c>
      <c r="D8" s="395">
        <v>225</v>
      </c>
      <c r="E8" s="395">
        <v>12000</v>
      </c>
      <c r="F8" s="396">
        <v>53.33</v>
      </c>
      <c r="G8" s="285"/>
      <c r="H8" s="286"/>
      <c r="I8" s="82"/>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thickBot="1" x14ac:dyDescent="0.3">
      <c r="A9" s="42"/>
      <c r="B9" s="385"/>
      <c r="C9" s="397" t="s">
        <v>365</v>
      </c>
      <c r="D9" s="398">
        <v>425</v>
      </c>
      <c r="E9" s="398">
        <v>19000</v>
      </c>
      <c r="F9" s="399">
        <v>44.71</v>
      </c>
      <c r="G9" s="285"/>
      <c r="H9" s="286"/>
      <c r="I9" s="82"/>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393" t="s">
        <v>8</v>
      </c>
      <c r="C10" s="394">
        <v>1</v>
      </c>
      <c r="D10" s="395">
        <v>250</v>
      </c>
      <c r="E10" s="395">
        <v>10000</v>
      </c>
      <c r="F10" s="396">
        <v>40</v>
      </c>
      <c r="G10" s="285"/>
      <c r="H10" s="286"/>
      <c r="I10" s="82"/>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thickBot="1" x14ac:dyDescent="0.3">
      <c r="A11" s="42"/>
      <c r="B11" s="393"/>
      <c r="C11" s="394">
        <v>2</v>
      </c>
      <c r="D11" s="395">
        <v>300</v>
      </c>
      <c r="E11" s="395">
        <v>17000</v>
      </c>
      <c r="F11" s="396">
        <v>56.67</v>
      </c>
      <c r="G11" s="285"/>
      <c r="H11" s="286"/>
      <c r="I11" s="82"/>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385"/>
      <c r="C12" s="397" t="s">
        <v>365</v>
      </c>
      <c r="D12" s="398">
        <v>550</v>
      </c>
      <c r="E12" s="398">
        <v>27000</v>
      </c>
      <c r="F12" s="399">
        <v>49.09</v>
      </c>
      <c r="G12" s="285"/>
      <c r="H12" s="286"/>
      <c r="I12" s="82"/>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393" t="s">
        <v>11</v>
      </c>
      <c r="C13" s="394">
        <v>1</v>
      </c>
      <c r="D13" s="395">
        <v>300</v>
      </c>
      <c r="E13" s="395">
        <v>14000</v>
      </c>
      <c r="F13" s="396">
        <v>46.67</v>
      </c>
      <c r="G13" s="285"/>
      <c r="H13" s="286"/>
      <c r="I13" s="82"/>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thickBot="1" x14ac:dyDescent="0.3">
      <c r="A14" s="42"/>
      <c r="B14" s="393"/>
      <c r="C14" s="394">
        <v>2</v>
      </c>
      <c r="D14" s="395">
        <v>350</v>
      </c>
      <c r="E14" s="395">
        <v>20000</v>
      </c>
      <c r="F14" s="396">
        <v>57.14</v>
      </c>
      <c r="G14" s="285"/>
      <c r="H14" s="286"/>
      <c r="I14" s="82"/>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thickBot="1" x14ac:dyDescent="0.3">
      <c r="A15" s="42"/>
      <c r="B15" s="385"/>
      <c r="C15" s="397" t="s">
        <v>365</v>
      </c>
      <c r="D15" s="398">
        <v>650</v>
      </c>
      <c r="E15" s="398">
        <v>34000</v>
      </c>
      <c r="F15" s="399">
        <v>52.31</v>
      </c>
      <c r="G15" s="285"/>
      <c r="H15" s="286"/>
      <c r="I15" s="82"/>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393" t="s">
        <v>366</v>
      </c>
      <c r="C16" s="394">
        <v>1</v>
      </c>
      <c r="D16" s="395">
        <v>750</v>
      </c>
      <c r="E16" s="395">
        <v>31000</v>
      </c>
      <c r="F16" s="396">
        <v>41.33</v>
      </c>
      <c r="G16" s="285"/>
      <c r="H16" s="286"/>
      <c r="I16" s="82"/>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thickBot="1" x14ac:dyDescent="0.3">
      <c r="A17" s="42"/>
      <c r="B17" s="393"/>
      <c r="C17" s="394">
        <v>2</v>
      </c>
      <c r="D17" s="395">
        <v>875</v>
      </c>
      <c r="E17" s="395">
        <v>49000</v>
      </c>
      <c r="F17" s="396">
        <v>56</v>
      </c>
      <c r="G17" s="285"/>
      <c r="H17" s="286"/>
      <c r="I17" s="82"/>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thickBot="1" x14ac:dyDescent="0.3">
      <c r="A18" s="42"/>
      <c r="B18" s="385"/>
      <c r="C18" s="397" t="s">
        <v>25</v>
      </c>
      <c r="D18" s="398">
        <v>1625</v>
      </c>
      <c r="E18" s="398">
        <v>80000</v>
      </c>
      <c r="F18" s="399">
        <v>49.23</v>
      </c>
      <c r="G18" s="285"/>
      <c r="H18" s="286"/>
      <c r="I18" s="82"/>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2"/>
      <c r="B19" s="400"/>
      <c r="C19" s="400"/>
      <c r="D19" s="400"/>
      <c r="E19" s="400"/>
      <c r="F19" s="401"/>
      <c r="G19" s="285"/>
      <c r="H19" s="286"/>
      <c r="I19" s="82"/>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v>1</v>
      </c>
      <c r="B20" s="285" t="s">
        <v>19</v>
      </c>
      <c r="C20" s="400"/>
      <c r="D20" s="400"/>
      <c r="E20" s="400"/>
      <c r="F20" s="285"/>
      <c r="G20" s="285"/>
      <c r="H20" s="286"/>
      <c r="I20" s="82"/>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285" t="s">
        <v>367</v>
      </c>
      <c r="C21" s="285"/>
      <c r="D21" s="285"/>
      <c r="E21" s="285"/>
      <c r="F21" s="285"/>
      <c r="G21" s="285"/>
      <c r="H21" s="286"/>
      <c r="I21" s="82"/>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c r="B22" s="285"/>
      <c r="C22" s="285"/>
      <c r="D22" s="285"/>
      <c r="E22" s="285"/>
      <c r="F22" s="285"/>
      <c r="G22" s="285"/>
      <c r="H22" s="286"/>
      <c r="I22" s="82"/>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v>0.5</v>
      </c>
      <c r="B23" s="285" t="s">
        <v>368</v>
      </c>
      <c r="C23" s="285"/>
      <c r="D23" s="285"/>
      <c r="E23" s="285"/>
      <c r="F23" s="285"/>
      <c r="G23" s="285"/>
      <c r="H23" s="286"/>
      <c r="I23" s="82"/>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c r="B24" s="285" t="s">
        <v>369</v>
      </c>
      <c r="C24" s="285"/>
      <c r="D24" s="285"/>
      <c r="E24" s="285"/>
      <c r="F24" s="285"/>
      <c r="G24" s="285"/>
      <c r="H24" s="286"/>
      <c r="I24" s="82"/>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thickBot="1" x14ac:dyDescent="0.3">
      <c r="A25" s="75"/>
      <c r="B25" s="289"/>
      <c r="C25" s="289"/>
      <c r="D25" s="289"/>
      <c r="E25" s="289"/>
      <c r="F25" s="289"/>
      <c r="G25" s="289"/>
      <c r="H25" s="290"/>
      <c r="I25" s="82"/>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82"/>
      <c r="B26" s="82"/>
      <c r="C26" s="82"/>
      <c r="D26" s="82"/>
      <c r="E26" s="82"/>
      <c r="F26" s="82"/>
      <c r="G26" s="82"/>
      <c r="H26" s="82"/>
      <c r="I26" s="122"/>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
      <c r="B27" s="82" t="s">
        <v>19</v>
      </c>
      <c r="C27" s="82"/>
      <c r="D27" s="82"/>
      <c r="E27" s="82"/>
      <c r="F27" s="82"/>
      <c r="G27" s="82"/>
      <c r="H27" s="82"/>
      <c r="I27" s="82"/>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82"/>
      <c r="B28" s="82" t="s">
        <v>370</v>
      </c>
      <c r="C28" s="82"/>
      <c r="D28" s="82">
        <f>SUMPRODUCT(F10:F11,$D$7:$D$8)/$D$9</f>
        <v>48.825294117647061</v>
      </c>
      <c r="E28" s="36"/>
      <c r="F28" s="82"/>
      <c r="G28" s="82"/>
      <c r="H28" s="82"/>
      <c r="I28" s="82"/>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82"/>
      <c r="B29" s="82" t="s">
        <v>371</v>
      </c>
      <c r="C29" s="82"/>
      <c r="D29" s="82">
        <f>F10*F9/D28</f>
        <v>36.62855559437611</v>
      </c>
      <c r="E29" s="82"/>
      <c r="F29" s="82"/>
      <c r="G29" s="82"/>
      <c r="H29" s="82"/>
      <c r="I29" s="82"/>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t="s">
        <v>372</v>
      </c>
      <c r="C30" s="82"/>
      <c r="D30" s="82">
        <f>SUMPRODUCT(F13:F14,$D$7:$D$8)/$D$9</f>
        <v>52.212941176470586</v>
      </c>
      <c r="E30" s="402"/>
      <c r="F30" s="82"/>
      <c r="G30" s="82"/>
      <c r="H30" s="82"/>
      <c r="I30" s="82"/>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t="s">
        <v>373</v>
      </c>
      <c r="C31" s="82"/>
      <c r="D31" s="82">
        <f>F13*F9/D30</f>
        <v>39.963573263333416</v>
      </c>
      <c r="E31" s="82"/>
      <c r="F31" s="82"/>
      <c r="G31" s="82"/>
      <c r="H31" s="82"/>
      <c r="I31" s="82"/>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82"/>
      <c r="D32" s="82"/>
      <c r="E32" s="82"/>
      <c r="F32" s="82"/>
      <c r="G32" s="82"/>
      <c r="H32" s="82"/>
      <c r="I32" s="82"/>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122" t="s">
        <v>374</v>
      </c>
      <c r="C33" s="122"/>
      <c r="D33" s="122"/>
      <c r="E33" s="403">
        <f>(D31*D13+D29*D10)/(D10+D13)</f>
        <v>38.447656141080095</v>
      </c>
      <c r="F33" s="82"/>
      <c r="G33" s="82"/>
      <c r="H33" s="82"/>
      <c r="I33" s="82"/>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c r="C34" s="82"/>
      <c r="D34" s="82"/>
      <c r="E34" s="82"/>
      <c r="F34" s="82"/>
      <c r="G34" s="82"/>
      <c r="H34" s="82"/>
      <c r="I34" s="82"/>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82"/>
      <c r="H35" s="82"/>
      <c r="I35" s="82"/>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t="s">
        <v>21</v>
      </c>
      <c r="C36" s="82"/>
      <c r="D36" s="82"/>
      <c r="E36" s="82"/>
      <c r="F36" s="82"/>
      <c r="G36" s="82"/>
      <c r="H36" s="82"/>
      <c r="I36" s="82"/>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t="s">
        <v>375</v>
      </c>
      <c r="C37" s="82"/>
      <c r="D37" s="82"/>
      <c r="E37" s="82"/>
      <c r="F37" s="82"/>
      <c r="G37" s="82"/>
      <c r="H37" s="82"/>
      <c r="I37" s="82"/>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t="s">
        <v>376</v>
      </c>
      <c r="C38" s="82"/>
      <c r="D38" s="82"/>
      <c r="E38" s="82"/>
      <c r="F38" s="82"/>
      <c r="G38" s="82"/>
      <c r="H38" s="82"/>
      <c r="I38" s="82"/>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82"/>
      <c r="H39" s="82"/>
      <c r="I39" s="82"/>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82"/>
      <c r="H40" s="82"/>
      <c r="I40" s="82"/>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82"/>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82"/>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82"/>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82"/>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row r="201" spans="1:52" x14ac:dyDescent="0.25"/>
    <row r="202" spans="1:52" x14ac:dyDescent="0.25"/>
    <row r="203" spans="1:52" x14ac:dyDescent="0.25"/>
    <row r="204" spans="1:52" x14ac:dyDescent="0.25"/>
    <row r="205" spans="1:52"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Z205"/>
  <sheetViews>
    <sheetView workbookViewId="0"/>
  </sheetViews>
  <sheetFormatPr defaultColWidth="0" defaultRowHeight="15" zeroHeight="1" x14ac:dyDescent="0.25"/>
  <cols>
    <col min="1" max="5" width="12" style="37" customWidth="1"/>
    <col min="6" max="6" width="13" style="37" customWidth="1"/>
    <col min="7" max="49" width="9.375" style="37" customWidth="1"/>
    <col min="50" max="16384" width="9.375" style="37" hidden="1"/>
  </cols>
  <sheetData>
    <row r="1" spans="1:52" ht="15.75" thickBot="1" x14ac:dyDescent="0.3">
      <c r="A1" s="1">
        <v>9</v>
      </c>
      <c r="B1" s="2"/>
      <c r="C1" s="283"/>
      <c r="D1" s="283"/>
      <c r="E1" s="283"/>
      <c r="F1" s="283"/>
      <c r="G1" s="283"/>
      <c r="H1" s="284"/>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285"/>
      <c r="C2" s="285"/>
      <c r="D2" s="285"/>
      <c r="E2" s="285"/>
      <c r="F2" s="285"/>
      <c r="G2" s="285"/>
      <c r="H2" s="28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1.5</v>
      </c>
      <c r="B3" s="39"/>
      <c r="C3" s="285"/>
      <c r="D3" s="285"/>
      <c r="E3" s="285"/>
      <c r="F3" s="285"/>
      <c r="G3" s="285"/>
      <c r="H3" s="28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382" t="s">
        <v>360</v>
      </c>
      <c r="C4" s="285"/>
      <c r="D4" s="285"/>
      <c r="E4" s="285"/>
      <c r="F4" s="285"/>
      <c r="G4" s="285"/>
      <c r="H4" s="28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383"/>
      <c r="C5" s="383"/>
      <c r="D5" s="383"/>
      <c r="E5" s="382"/>
      <c r="F5" s="384"/>
      <c r="G5" s="285"/>
      <c r="H5" s="28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29.25" customHeight="1" thickBot="1" x14ac:dyDescent="0.3">
      <c r="A6" s="42"/>
      <c r="B6" s="385" t="s">
        <v>361</v>
      </c>
      <c r="C6" s="386" t="s">
        <v>320</v>
      </c>
      <c r="D6" s="386" t="s">
        <v>362</v>
      </c>
      <c r="E6" s="387" t="s">
        <v>363</v>
      </c>
      <c r="F6" s="388" t="s">
        <v>364</v>
      </c>
      <c r="G6" s="285"/>
      <c r="H6" s="28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389" t="s">
        <v>6</v>
      </c>
      <c r="C7" s="390">
        <v>1</v>
      </c>
      <c r="D7" s="391">
        <v>200</v>
      </c>
      <c r="E7" s="391">
        <v>7000</v>
      </c>
      <c r="F7" s="392">
        <v>35</v>
      </c>
      <c r="G7" s="285"/>
      <c r="H7" s="286"/>
      <c r="I7" s="82"/>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thickBot="1" x14ac:dyDescent="0.3">
      <c r="A8" s="42"/>
      <c r="B8" s="393"/>
      <c r="C8" s="394">
        <v>2</v>
      </c>
      <c r="D8" s="395">
        <v>225</v>
      </c>
      <c r="E8" s="395">
        <v>12000</v>
      </c>
      <c r="F8" s="396">
        <v>53.33</v>
      </c>
      <c r="G8" s="285"/>
      <c r="H8" s="286"/>
      <c r="I8" s="82"/>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thickBot="1" x14ac:dyDescent="0.3">
      <c r="A9" s="42"/>
      <c r="B9" s="385"/>
      <c r="C9" s="397" t="s">
        <v>365</v>
      </c>
      <c r="D9" s="398">
        <v>425</v>
      </c>
      <c r="E9" s="398">
        <v>19000</v>
      </c>
      <c r="F9" s="399">
        <v>44.71</v>
      </c>
      <c r="G9" s="285"/>
      <c r="H9" s="286"/>
      <c r="I9" s="82"/>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393" t="s">
        <v>8</v>
      </c>
      <c r="C10" s="394">
        <v>1</v>
      </c>
      <c r="D10" s="395">
        <v>250</v>
      </c>
      <c r="E10" s="395">
        <v>10000</v>
      </c>
      <c r="F10" s="396">
        <v>40</v>
      </c>
      <c r="G10" s="285"/>
      <c r="H10" s="286"/>
      <c r="I10" s="82"/>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thickBot="1" x14ac:dyDescent="0.3">
      <c r="A11" s="42"/>
      <c r="B11" s="393"/>
      <c r="C11" s="394">
        <v>2</v>
      </c>
      <c r="D11" s="395">
        <v>300</v>
      </c>
      <c r="E11" s="395">
        <v>17000</v>
      </c>
      <c r="F11" s="396">
        <v>56.67</v>
      </c>
      <c r="G11" s="285"/>
      <c r="H11" s="286"/>
      <c r="I11" s="82"/>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385"/>
      <c r="C12" s="397" t="s">
        <v>365</v>
      </c>
      <c r="D12" s="398">
        <v>550</v>
      </c>
      <c r="E12" s="398">
        <v>27000</v>
      </c>
      <c r="F12" s="399">
        <v>49.09</v>
      </c>
      <c r="G12" s="285"/>
      <c r="H12" s="286"/>
      <c r="I12" s="82"/>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393" t="s">
        <v>11</v>
      </c>
      <c r="C13" s="394">
        <v>1</v>
      </c>
      <c r="D13" s="395">
        <v>300</v>
      </c>
      <c r="E13" s="395">
        <v>14000</v>
      </c>
      <c r="F13" s="396">
        <v>46.67</v>
      </c>
      <c r="G13" s="285"/>
      <c r="H13" s="286"/>
      <c r="I13" s="82"/>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thickBot="1" x14ac:dyDescent="0.3">
      <c r="A14" s="42"/>
      <c r="B14" s="393"/>
      <c r="C14" s="394">
        <v>2</v>
      </c>
      <c r="D14" s="395">
        <v>350</v>
      </c>
      <c r="E14" s="395">
        <v>20000</v>
      </c>
      <c r="F14" s="396">
        <v>57.14</v>
      </c>
      <c r="G14" s="285"/>
      <c r="H14" s="286"/>
      <c r="I14" s="82"/>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thickBot="1" x14ac:dyDescent="0.3">
      <c r="A15" s="42"/>
      <c r="B15" s="385"/>
      <c r="C15" s="397" t="s">
        <v>365</v>
      </c>
      <c r="D15" s="398">
        <v>650</v>
      </c>
      <c r="E15" s="398">
        <v>34000</v>
      </c>
      <c r="F15" s="399">
        <v>52.31</v>
      </c>
      <c r="G15" s="285"/>
      <c r="H15" s="286"/>
      <c r="I15" s="82"/>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393" t="s">
        <v>366</v>
      </c>
      <c r="C16" s="394">
        <v>1</v>
      </c>
      <c r="D16" s="395">
        <v>750</v>
      </c>
      <c r="E16" s="395">
        <v>31000</v>
      </c>
      <c r="F16" s="396">
        <v>41.33</v>
      </c>
      <c r="G16" s="285"/>
      <c r="H16" s="286"/>
      <c r="I16" s="82"/>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thickBot="1" x14ac:dyDescent="0.3">
      <c r="A17" s="42"/>
      <c r="B17" s="393"/>
      <c r="C17" s="394">
        <v>2</v>
      </c>
      <c r="D17" s="395">
        <v>875</v>
      </c>
      <c r="E17" s="395">
        <v>49000</v>
      </c>
      <c r="F17" s="396">
        <v>56</v>
      </c>
      <c r="G17" s="285"/>
      <c r="H17" s="286"/>
      <c r="I17" s="82"/>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thickBot="1" x14ac:dyDescent="0.3">
      <c r="A18" s="42"/>
      <c r="B18" s="385"/>
      <c r="C18" s="397" t="s">
        <v>25</v>
      </c>
      <c r="D18" s="398">
        <v>1625</v>
      </c>
      <c r="E18" s="398">
        <v>80000</v>
      </c>
      <c r="F18" s="399">
        <v>49.23</v>
      </c>
      <c r="G18" s="285"/>
      <c r="H18" s="286"/>
      <c r="I18" s="82"/>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2"/>
      <c r="B19" s="400"/>
      <c r="C19" s="400"/>
      <c r="D19" s="400"/>
      <c r="E19" s="400"/>
      <c r="F19" s="401"/>
      <c r="G19" s="285"/>
      <c r="H19" s="286"/>
      <c r="I19" s="82"/>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v>1</v>
      </c>
      <c r="B20" s="285" t="s">
        <v>19</v>
      </c>
      <c r="C20" s="400"/>
      <c r="D20" s="400"/>
      <c r="E20" s="400"/>
      <c r="F20" s="285"/>
      <c r="G20" s="285"/>
      <c r="H20" s="286"/>
      <c r="I20" s="82"/>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285" t="s">
        <v>367</v>
      </c>
      <c r="C21" s="285"/>
      <c r="D21" s="285"/>
      <c r="E21" s="285"/>
      <c r="F21" s="285"/>
      <c r="G21" s="285"/>
      <c r="H21" s="286"/>
      <c r="I21" s="82"/>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c r="B22" s="285"/>
      <c r="C22" s="285"/>
      <c r="D22" s="285"/>
      <c r="E22" s="285"/>
      <c r="F22" s="285"/>
      <c r="G22" s="285"/>
      <c r="H22" s="286"/>
      <c r="I22" s="82"/>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v>0.5</v>
      </c>
      <c r="B23" s="285" t="s">
        <v>368</v>
      </c>
      <c r="C23" s="285"/>
      <c r="D23" s="285"/>
      <c r="E23" s="285"/>
      <c r="F23" s="285"/>
      <c r="G23" s="285"/>
      <c r="H23" s="286"/>
      <c r="I23" s="82"/>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c r="B24" s="285" t="s">
        <v>369</v>
      </c>
      <c r="C24" s="285"/>
      <c r="D24" s="285"/>
      <c r="E24" s="285"/>
      <c r="F24" s="285"/>
      <c r="G24" s="285"/>
      <c r="H24" s="286"/>
      <c r="I24" s="82"/>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thickBot="1" x14ac:dyDescent="0.3">
      <c r="A25" s="75"/>
      <c r="B25" s="289"/>
      <c r="C25" s="289"/>
      <c r="D25" s="289"/>
      <c r="E25" s="289"/>
      <c r="F25" s="289"/>
      <c r="G25" s="289"/>
      <c r="H25" s="290"/>
      <c r="I25" s="82"/>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82"/>
      <c r="B26" s="82"/>
      <c r="C26" s="82"/>
      <c r="D26" s="82"/>
      <c r="E26" s="82"/>
      <c r="F26" s="82"/>
      <c r="G26" s="82"/>
      <c r="H26" s="82"/>
      <c r="I26" s="122"/>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
      <c r="B27" s="82" t="s">
        <v>19</v>
      </c>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82"/>
      <c r="B28" s="82"/>
      <c r="C28" s="36" t="s">
        <v>377</v>
      </c>
      <c r="D28" s="36"/>
      <c r="E28" s="36"/>
      <c r="F28" s="36">
        <f>SUMPRODUCT(D7:D8,F7:F8)/D9</f>
        <v>44.704117647058823</v>
      </c>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82"/>
      <c r="B29" s="82"/>
      <c r="C29" s="36" t="s">
        <v>378</v>
      </c>
      <c r="D29" s="36"/>
      <c r="E29" s="36"/>
      <c r="F29" s="36">
        <f>SUMPRODUCT(D7:D8,F10:F11)/D9</f>
        <v>48.825294117647061</v>
      </c>
      <c r="G29" s="36"/>
      <c r="H29" s="36" t="s">
        <v>379</v>
      </c>
      <c r="I29" s="36"/>
      <c r="J29" s="36">
        <f>F$28/F29</f>
        <v>0.91559341228630287</v>
      </c>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36" t="s">
        <v>380</v>
      </c>
      <c r="D30" s="36"/>
      <c r="E30" s="36"/>
      <c r="F30" s="36">
        <f>SUMPRODUCT(D7:D8,F13:F14)/D9</f>
        <v>52.212941176470586</v>
      </c>
      <c r="G30" s="36"/>
      <c r="H30" s="36" t="s">
        <v>379</v>
      </c>
      <c r="I30" s="36"/>
      <c r="J30" s="36">
        <f>F$28/F30</f>
        <v>0.85618845902525853</v>
      </c>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36" t="s">
        <v>381</v>
      </c>
      <c r="D32" s="36"/>
      <c r="E32" s="36"/>
      <c r="F32" s="132">
        <f>F10*J29</f>
        <v>36.623736491452114</v>
      </c>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c r="C33" s="404" t="s">
        <v>382</v>
      </c>
      <c r="D33" s="82"/>
      <c r="E33" s="82"/>
      <c r="F33" s="405">
        <f>F13*J30</f>
        <v>39.958315382708818</v>
      </c>
      <c r="G33" s="82"/>
      <c r="H33" s="82"/>
      <c r="I33" s="82"/>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c r="C34" s="82"/>
      <c r="D34" s="82"/>
      <c r="E34" s="82"/>
      <c r="F34" s="82"/>
      <c r="G34" s="82"/>
      <c r="H34" s="82"/>
      <c r="I34" s="82"/>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t="s">
        <v>383</v>
      </c>
      <c r="D35" s="82"/>
      <c r="E35" s="82"/>
      <c r="F35" s="82">
        <f>(D10*F32+D13*F33)/(D10+D13)</f>
        <v>38.442597704864866</v>
      </c>
      <c r="G35" s="82"/>
      <c r="H35" s="82"/>
      <c r="I35" s="82"/>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c r="C36" s="82"/>
      <c r="D36" s="82"/>
      <c r="E36" s="82"/>
      <c r="F36" s="82"/>
      <c r="G36" s="82"/>
      <c r="H36" s="82"/>
      <c r="I36" s="82"/>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t="s">
        <v>21</v>
      </c>
      <c r="C37" s="82" t="s">
        <v>384</v>
      </c>
      <c r="D37" s="82"/>
      <c r="E37" s="82"/>
      <c r="F37" s="82"/>
      <c r="G37" s="82"/>
      <c r="H37" s="82"/>
      <c r="I37" s="82"/>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t="s">
        <v>385</v>
      </c>
      <c r="D38" s="82" t="s">
        <v>386</v>
      </c>
      <c r="E38" s="82"/>
      <c r="F38" s="82"/>
      <c r="G38" s="82"/>
      <c r="H38" s="82"/>
      <c r="I38" s="82"/>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t="s">
        <v>387</v>
      </c>
      <c r="E39" s="82"/>
      <c r="F39" s="82"/>
      <c r="G39" s="82"/>
      <c r="H39" s="82"/>
      <c r="I39" s="82"/>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t="s">
        <v>388</v>
      </c>
      <c r="E40" s="82"/>
      <c r="F40" s="82"/>
      <c r="G40" s="82"/>
      <c r="H40" s="82"/>
      <c r="I40" s="82"/>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t="s">
        <v>389</v>
      </c>
      <c r="E41" s="82"/>
      <c r="F41" s="82"/>
      <c r="G41" s="82"/>
      <c r="H41" s="82"/>
      <c r="I41" s="82"/>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t="s">
        <v>390</v>
      </c>
      <c r="D42" s="82" t="s">
        <v>391</v>
      </c>
      <c r="E42" s="82"/>
      <c r="F42" s="82"/>
      <c r="G42" s="82"/>
      <c r="H42" s="82"/>
      <c r="I42" s="82"/>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t="s">
        <v>392</v>
      </c>
      <c r="E43" s="82"/>
      <c r="F43" s="82"/>
      <c r="G43" s="82"/>
      <c r="H43" s="82"/>
      <c r="I43" s="82"/>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82"/>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row r="201" spans="1:52" x14ac:dyDescent="0.25"/>
    <row r="202" spans="1:52" x14ac:dyDescent="0.25"/>
    <row r="203" spans="1:52" x14ac:dyDescent="0.25"/>
    <row r="204" spans="1:52" x14ac:dyDescent="0.25"/>
    <row r="205" spans="1:52"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Z200"/>
  <sheetViews>
    <sheetView zoomScale="70" zoomScaleNormal="70" zoomScalePageLayoutView="70" workbookViewId="0"/>
  </sheetViews>
  <sheetFormatPr defaultColWidth="0" defaultRowHeight="0" customHeight="1" zeroHeight="1" x14ac:dyDescent="0.25"/>
  <cols>
    <col min="1" max="1" width="9.375" style="37" customWidth="1"/>
    <col min="2" max="2" width="16" style="37" customWidth="1"/>
    <col min="3" max="3" width="10" style="37" bestFit="1" customWidth="1"/>
    <col min="4" max="4" width="14.25" style="37" customWidth="1"/>
    <col min="5" max="6" width="9.375" style="37" customWidth="1"/>
    <col min="7" max="7" width="24.25" style="37" bestFit="1" customWidth="1"/>
    <col min="8" max="49" width="9.375" style="37" customWidth="1"/>
    <col min="50" max="16384" width="9.375" style="37" hidden="1"/>
  </cols>
  <sheetData>
    <row r="1" spans="1:52" ht="15.75" customHeight="1" thickBot="1" x14ac:dyDescent="0.3">
      <c r="A1" s="1">
        <v>10</v>
      </c>
      <c r="B1" s="2"/>
      <c r="C1" s="33"/>
      <c r="D1" s="33"/>
      <c r="E1" s="33"/>
      <c r="F1" s="33"/>
      <c r="G1" s="33"/>
      <c r="H1" s="34"/>
      <c r="I1" s="8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40"/>
      <c r="I2" s="82"/>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2</v>
      </c>
      <c r="B3" s="39"/>
      <c r="C3" s="39"/>
      <c r="D3" s="39"/>
      <c r="E3" s="39"/>
      <c r="F3" s="39"/>
      <c r="G3" s="39"/>
      <c r="H3" s="40"/>
      <c r="I3" s="82"/>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393</v>
      </c>
      <c r="C4" s="39"/>
      <c r="D4" s="39"/>
      <c r="E4" s="39"/>
      <c r="F4" s="39"/>
      <c r="G4" s="46"/>
      <c r="H4" s="47"/>
      <c r="I4" s="82"/>
      <c r="J4" s="36" t="s">
        <v>19</v>
      </c>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88"/>
      <c r="C5" s="39"/>
      <c r="D5" s="39"/>
      <c r="E5" s="39"/>
      <c r="F5" s="39"/>
      <c r="G5" s="46"/>
      <c r="H5" s="47"/>
      <c r="I5" s="82"/>
      <c r="J5" s="36" t="s">
        <v>394</v>
      </c>
      <c r="K5" s="36">
        <f>K8/K7</f>
        <v>1.3910664633599426</v>
      </c>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x14ac:dyDescent="0.25">
      <c r="A6" s="42"/>
      <c r="B6" s="406"/>
      <c r="C6" s="407"/>
      <c r="D6" s="408" t="s">
        <v>395</v>
      </c>
      <c r="E6" s="407"/>
      <c r="F6" s="408" t="s">
        <v>396</v>
      </c>
      <c r="G6" s="407"/>
      <c r="H6" s="47"/>
      <c r="I6" s="82"/>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thickBot="1" x14ac:dyDescent="0.3">
      <c r="A7" s="42"/>
      <c r="B7" s="409" t="s">
        <v>397</v>
      </c>
      <c r="C7" s="410"/>
      <c r="D7" s="411" t="s">
        <v>398</v>
      </c>
      <c r="E7" s="412" t="s">
        <v>399</v>
      </c>
      <c r="F7" s="413" t="s">
        <v>398</v>
      </c>
      <c r="G7" s="414" t="s">
        <v>399</v>
      </c>
      <c r="H7" s="57"/>
      <c r="I7" s="82"/>
      <c r="J7" s="36" t="s">
        <v>400</v>
      </c>
      <c r="K7" s="36">
        <f>(E8+G8+50*(D9+F9+F10))/SUM(D8:D9,F8:F10)</f>
        <v>43.721568627450978</v>
      </c>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406" t="s">
        <v>401</v>
      </c>
      <c r="C8" s="407"/>
      <c r="D8" s="415">
        <v>600</v>
      </c>
      <c r="E8" s="416">
        <v>21522</v>
      </c>
      <c r="F8" s="417">
        <v>700</v>
      </c>
      <c r="G8" s="416">
        <v>27468</v>
      </c>
      <c r="H8" s="57"/>
      <c r="I8" s="82"/>
      <c r="J8" s="36" t="s">
        <v>402</v>
      </c>
      <c r="K8" s="36">
        <f>K7+(K10*K11)</f>
        <v>60.819607843137248</v>
      </c>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42"/>
      <c r="B9" s="409" t="s">
        <v>403</v>
      </c>
      <c r="C9" s="410"/>
      <c r="D9" s="418">
        <v>550</v>
      </c>
      <c r="E9" s="419">
        <v>46200</v>
      </c>
      <c r="F9" s="420">
        <v>500</v>
      </c>
      <c r="G9" s="419">
        <v>39900</v>
      </c>
      <c r="H9" s="57"/>
      <c r="I9" s="82"/>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thickBot="1" x14ac:dyDescent="0.3">
      <c r="A10" s="42"/>
      <c r="B10" s="421" t="s">
        <v>404</v>
      </c>
      <c r="C10" s="422"/>
      <c r="D10" s="423"/>
      <c r="E10" s="424"/>
      <c r="F10" s="425">
        <v>200</v>
      </c>
      <c r="G10" s="426">
        <v>35620</v>
      </c>
      <c r="H10" s="57"/>
      <c r="I10" s="82"/>
      <c r="J10" s="36" t="s">
        <v>405</v>
      </c>
      <c r="K10" s="36">
        <f>(E9+G9+F10*100-(50*SUM(D9,F9:F10)))/SUM(D9,F9:F10)</f>
        <v>34.880000000000003</v>
      </c>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thickBot="1" x14ac:dyDescent="0.3">
      <c r="A11" s="42"/>
      <c r="B11" s="427"/>
      <c r="C11" s="428"/>
      <c r="D11" s="39"/>
      <c r="E11" s="39"/>
      <c r="F11" s="39"/>
      <c r="G11" s="429"/>
      <c r="H11" s="57"/>
      <c r="I11" s="82"/>
      <c r="J11" s="36" t="s">
        <v>406</v>
      </c>
      <c r="K11" s="36">
        <f>SUM(D9,F9:F10)/SUM(D8:D9,F8:F10)</f>
        <v>0.49019607843137253</v>
      </c>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430">
        <v>50000</v>
      </c>
      <c r="C12" s="431" t="s">
        <v>407</v>
      </c>
      <c r="D12" s="432"/>
      <c r="E12" s="39"/>
      <c r="F12" s="39"/>
      <c r="G12" s="429"/>
      <c r="H12" s="57"/>
      <c r="I12" s="82"/>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88"/>
      <c r="C13" s="39"/>
      <c r="D13" s="39"/>
      <c r="E13" s="39"/>
      <c r="F13" s="39"/>
      <c r="G13" s="46"/>
      <c r="H13" s="40"/>
      <c r="I13" s="82"/>
      <c r="J13" s="36" t="s">
        <v>21</v>
      </c>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v>0.75</v>
      </c>
      <c r="B14" s="39" t="s">
        <v>46</v>
      </c>
      <c r="C14" s="39"/>
      <c r="D14" s="39"/>
      <c r="E14" s="39"/>
      <c r="F14" s="39"/>
      <c r="G14" s="46"/>
      <c r="H14" s="40"/>
      <c r="I14" s="82"/>
      <c r="J14" s="36" t="s">
        <v>408</v>
      </c>
      <c r="K14" s="36">
        <f>K18/K7</f>
        <v>1.6462527068411004</v>
      </c>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133" t="s">
        <v>409</v>
      </c>
      <c r="C15" s="39"/>
      <c r="D15" s="39"/>
      <c r="E15" s="39"/>
      <c r="F15" s="39"/>
      <c r="G15" s="46"/>
      <c r="H15" s="40"/>
      <c r="I15" s="82"/>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133"/>
      <c r="C16" s="39"/>
      <c r="D16" s="39"/>
      <c r="E16" s="39"/>
      <c r="F16" s="39"/>
      <c r="G16" s="46"/>
      <c r="H16" s="40"/>
      <c r="I16" s="82"/>
      <c r="J16" s="36" t="s">
        <v>410</v>
      </c>
      <c r="K16" s="36">
        <f>(G10-(F10*100))/SUM(F10)</f>
        <v>78.099999999999994</v>
      </c>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v>1.25</v>
      </c>
      <c r="B17" s="39" t="s">
        <v>21</v>
      </c>
      <c r="C17" s="39"/>
      <c r="D17" s="39"/>
      <c r="E17" s="39"/>
      <c r="F17" s="39"/>
      <c r="G17" s="39"/>
      <c r="H17" s="40"/>
      <c r="I17" s="82"/>
      <c r="J17" s="36" t="s">
        <v>411</v>
      </c>
      <c r="K17" s="36">
        <f>SUM(F10)/SUM(F8:F10)</f>
        <v>0.14285714285714285</v>
      </c>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39" t="s">
        <v>412</v>
      </c>
      <c r="C18" s="39"/>
      <c r="D18" s="39"/>
      <c r="E18" s="39"/>
      <c r="F18" s="39"/>
      <c r="G18" s="39"/>
      <c r="H18" s="40"/>
      <c r="I18" s="82"/>
      <c r="J18" s="36" t="s">
        <v>413</v>
      </c>
      <c r="K18" s="36">
        <f>K8+K16*K17</f>
        <v>71.976750700280107</v>
      </c>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thickBot="1" x14ac:dyDescent="0.3">
      <c r="A19" s="75"/>
      <c r="B19" s="76"/>
      <c r="C19" s="257"/>
      <c r="D19" s="258"/>
      <c r="E19" s="258"/>
      <c r="F19" s="258"/>
      <c r="G19" s="258"/>
      <c r="H19" s="259"/>
      <c r="I19" s="8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82"/>
      <c r="B20" s="82"/>
      <c r="C20" s="82"/>
      <c r="D20" s="82"/>
      <c r="E20" s="82"/>
      <c r="F20" s="82"/>
      <c r="G20" s="82"/>
      <c r="H20" s="82"/>
      <c r="I20" s="82"/>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82"/>
      <c r="B21" s="82"/>
      <c r="C21" s="82"/>
      <c r="D21" s="82"/>
      <c r="E21" s="82"/>
      <c r="F21" s="82"/>
      <c r="G21" s="82"/>
      <c r="H21" s="82"/>
      <c r="I21" s="82"/>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82"/>
      <c r="B22" s="82"/>
      <c r="C22" s="82"/>
      <c r="D22" s="82"/>
      <c r="E22" s="82"/>
      <c r="F22" s="82"/>
      <c r="G22" s="82"/>
      <c r="H22" s="82"/>
      <c r="I22" s="82"/>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82"/>
      <c r="B23" s="82"/>
      <c r="C23" s="82"/>
      <c r="D23" s="82"/>
      <c r="E23" s="82"/>
      <c r="F23" s="82"/>
      <c r="G23" s="82"/>
      <c r="H23" s="82"/>
      <c r="I23" s="82"/>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82"/>
      <c r="B24" s="82"/>
      <c r="C24" s="82"/>
      <c r="D24" s="82"/>
      <c r="E24" s="82"/>
      <c r="F24" s="82"/>
      <c r="G24" s="82"/>
      <c r="H24" s="82"/>
      <c r="I24" s="82"/>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82"/>
      <c r="B25" s="82"/>
      <c r="C25" s="82"/>
      <c r="D25" s="82"/>
      <c r="E25" s="82"/>
      <c r="F25" s="82"/>
      <c r="G25" s="82"/>
      <c r="H25" s="82"/>
      <c r="I25" s="82"/>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82"/>
      <c r="B26" s="82"/>
      <c r="C26" s="82"/>
      <c r="D26" s="82"/>
      <c r="E26" s="82"/>
      <c r="F26" s="82"/>
      <c r="G26" s="82"/>
      <c r="H26" s="82"/>
      <c r="I26" s="82"/>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
      <c r="B27" s="82"/>
      <c r="C27" s="82"/>
      <c r="D27" s="82"/>
      <c r="E27" s="82"/>
      <c r="F27" s="82"/>
      <c r="G27" s="82"/>
      <c r="H27" s="82"/>
      <c r="I27" s="82"/>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82"/>
      <c r="B28" s="82"/>
      <c r="C28" s="82"/>
      <c r="D28" s="82"/>
      <c r="E28" s="82"/>
      <c r="F28" s="82"/>
      <c r="G28" s="82"/>
      <c r="H28" s="82"/>
      <c r="I28" s="82"/>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82"/>
      <c r="B29" s="82"/>
      <c r="C29" s="82"/>
      <c r="D29" s="82"/>
      <c r="E29" s="82"/>
      <c r="F29" s="82"/>
      <c r="G29" s="82"/>
      <c r="H29" s="82"/>
      <c r="I29" s="82"/>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82"/>
      <c r="H30" s="82"/>
      <c r="I30" s="82"/>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c r="C31" s="82"/>
      <c r="D31" s="82"/>
      <c r="E31" s="82"/>
      <c r="F31" s="82"/>
      <c r="G31" s="82"/>
      <c r="H31" s="82"/>
      <c r="I31" s="82"/>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82"/>
      <c r="D32" s="82"/>
      <c r="E32" s="82"/>
      <c r="F32" s="82"/>
      <c r="G32" s="82"/>
      <c r="H32" s="82"/>
      <c r="I32" s="82"/>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c r="C33" s="82"/>
      <c r="D33" s="82"/>
      <c r="E33" s="82"/>
      <c r="F33" s="82"/>
      <c r="G33" s="82"/>
      <c r="H33" s="82"/>
      <c r="I33" s="82"/>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c r="C34" s="82"/>
      <c r="D34" s="82"/>
      <c r="E34" s="82"/>
      <c r="F34" s="82"/>
      <c r="G34" s="82"/>
      <c r="H34" s="82"/>
      <c r="I34" s="82"/>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82"/>
      <c r="H35" s="82"/>
      <c r="I35" s="82"/>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c r="C36" s="82"/>
      <c r="D36" s="82"/>
      <c r="E36" s="82"/>
      <c r="F36" s="82"/>
      <c r="G36" s="82"/>
      <c r="H36" s="82"/>
      <c r="I36" s="82"/>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c r="C37" s="82"/>
      <c r="D37" s="82"/>
      <c r="E37" s="82"/>
      <c r="F37" s="82"/>
      <c r="G37" s="82"/>
      <c r="H37" s="82"/>
      <c r="I37" s="82"/>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c r="D38" s="82"/>
      <c r="E38" s="82"/>
      <c r="F38" s="82"/>
      <c r="G38" s="82"/>
      <c r="H38" s="82"/>
      <c r="I38" s="82"/>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82"/>
      <c r="H39" s="82"/>
      <c r="I39" s="82"/>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82"/>
      <c r="H40" s="82"/>
      <c r="I40" s="82"/>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82"/>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82"/>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82"/>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82"/>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82"/>
      <c r="H61" s="82"/>
      <c r="I61" s="82"/>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84" firstPageNumber="0" orientation="portrait"/>
  <headerFooter alignWithMargins="0">
    <oddHeader>&amp;CSpring 2018 Exam 5 Make-Up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Z200"/>
  <sheetViews>
    <sheetView workbookViewId="0"/>
  </sheetViews>
  <sheetFormatPr defaultColWidth="0" defaultRowHeight="0" customHeight="1" zeroHeight="1" x14ac:dyDescent="0.25"/>
  <cols>
    <col min="1" max="1" width="16.5" style="37" customWidth="1"/>
    <col min="2" max="3" width="12.625" style="37" customWidth="1"/>
    <col min="4" max="4" width="14" style="37" customWidth="1"/>
    <col min="5" max="5" width="13.75" style="37" customWidth="1"/>
    <col min="6" max="6" width="15.5" style="37" customWidth="1"/>
    <col min="7" max="7" width="15.875" style="37" customWidth="1"/>
    <col min="8" max="8" width="12.625" style="37" customWidth="1"/>
    <col min="9" max="49" width="9.375" style="37" customWidth="1"/>
    <col min="50" max="16384" width="9.375" style="37" hidden="1"/>
  </cols>
  <sheetData>
    <row r="1" spans="1:52" ht="15.75" thickBot="1" x14ac:dyDescent="0.3">
      <c r="A1" s="1">
        <v>11</v>
      </c>
      <c r="B1" s="2"/>
      <c r="C1" s="33"/>
      <c r="D1" s="33"/>
      <c r="E1" s="33"/>
      <c r="F1" s="33"/>
      <c r="G1" s="33"/>
      <c r="H1" s="33"/>
      <c r="I1" s="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39"/>
      <c r="I2" s="40"/>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3.75</v>
      </c>
      <c r="B3" s="39"/>
      <c r="C3" s="39"/>
      <c r="D3" s="39"/>
      <c r="E3" s="39"/>
      <c r="F3" s="39"/>
      <c r="G3" s="39"/>
      <c r="H3" s="39"/>
      <c r="I3" s="40"/>
      <c r="J3" s="36" t="s">
        <v>28</v>
      </c>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414</v>
      </c>
      <c r="C4" s="39"/>
      <c r="D4" s="39"/>
      <c r="E4" s="39"/>
      <c r="F4" s="39"/>
      <c r="G4" s="46"/>
      <c r="H4" s="46"/>
      <c r="I4" s="47"/>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88"/>
      <c r="C5" s="39"/>
      <c r="D5" s="39"/>
      <c r="E5" s="39"/>
      <c r="F5" s="39"/>
      <c r="G5" s="46"/>
      <c r="H5" s="46"/>
      <c r="I5" s="47"/>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91.5" customHeight="1" thickBot="1" x14ac:dyDescent="0.3">
      <c r="A6" s="42"/>
      <c r="B6" s="433" t="s">
        <v>415</v>
      </c>
      <c r="C6" s="434" t="s">
        <v>416</v>
      </c>
      <c r="D6" s="434" t="s">
        <v>417</v>
      </c>
      <c r="E6" s="434" t="s">
        <v>418</v>
      </c>
      <c r="F6" s="434" t="s">
        <v>419</v>
      </c>
      <c r="G6" s="434" t="s">
        <v>420</v>
      </c>
      <c r="H6" s="435" t="s">
        <v>421</v>
      </c>
      <c r="I6" s="47"/>
      <c r="J6" s="36"/>
      <c r="K6" s="36" t="s">
        <v>107</v>
      </c>
      <c r="L6" s="36" t="s">
        <v>422</v>
      </c>
      <c r="M6" s="36" t="s">
        <v>423</v>
      </c>
      <c r="N6" s="36" t="s">
        <v>424</v>
      </c>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436">
        <v>2014</v>
      </c>
      <c r="C7" s="437">
        <v>49000</v>
      </c>
      <c r="D7" s="437">
        <v>43000</v>
      </c>
      <c r="E7" s="437">
        <v>39000</v>
      </c>
      <c r="F7" s="437">
        <v>3250</v>
      </c>
      <c r="G7" s="437">
        <v>4200</v>
      </c>
      <c r="H7" s="438">
        <v>350</v>
      </c>
      <c r="I7" s="47"/>
      <c r="J7" s="436">
        <v>2014</v>
      </c>
      <c r="K7" s="439">
        <f>E7/D7</f>
        <v>0.90697674418604646</v>
      </c>
      <c r="L7" s="439">
        <f>F7/D7</f>
        <v>7.5581395348837205E-2</v>
      </c>
      <c r="M7" s="439">
        <f>(G7-B19)/C7</f>
        <v>6.5306122448979598E-2</v>
      </c>
      <c r="N7" s="440">
        <f>H7/C7</f>
        <v>7.1428571428571426E-3</v>
      </c>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436">
        <v>2015</v>
      </c>
      <c r="C8" s="437">
        <v>48000</v>
      </c>
      <c r="D8" s="437">
        <v>50000</v>
      </c>
      <c r="E8" s="437">
        <v>43000</v>
      </c>
      <c r="F8" s="437">
        <v>2750</v>
      </c>
      <c r="G8" s="437">
        <v>2000</v>
      </c>
      <c r="H8" s="438">
        <v>290</v>
      </c>
      <c r="I8" s="47"/>
      <c r="J8" s="436">
        <v>2015</v>
      </c>
      <c r="K8" s="439">
        <f t="shared" ref="K8:K9" si="0">E8/D8</f>
        <v>0.86</v>
      </c>
      <c r="L8" s="439">
        <f t="shared" ref="L8:L9" si="1">F8/D8</f>
        <v>5.5E-2</v>
      </c>
      <c r="M8" s="439">
        <f t="shared" ref="M8:M9" si="2">G8/C8</f>
        <v>4.1666666666666664E-2</v>
      </c>
      <c r="N8" s="440">
        <f t="shared" ref="N8:N9" si="3">H8/C8</f>
        <v>6.0416666666666665E-3</v>
      </c>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thickBot="1" x14ac:dyDescent="0.3">
      <c r="A9" s="42"/>
      <c r="B9" s="441">
        <v>2016</v>
      </c>
      <c r="C9" s="442">
        <v>51500</v>
      </c>
      <c r="D9" s="442">
        <v>49000</v>
      </c>
      <c r="E9" s="442">
        <v>47000</v>
      </c>
      <c r="F9" s="442">
        <v>1900</v>
      </c>
      <c r="G9" s="442">
        <v>1750</v>
      </c>
      <c r="H9" s="443">
        <v>200</v>
      </c>
      <c r="I9" s="47"/>
      <c r="J9" s="441">
        <v>2016</v>
      </c>
      <c r="K9" s="439">
        <f t="shared" si="0"/>
        <v>0.95918367346938771</v>
      </c>
      <c r="L9" s="439">
        <f t="shared" si="1"/>
        <v>3.8775510204081633E-2</v>
      </c>
      <c r="M9" s="439">
        <f t="shared" si="2"/>
        <v>3.3980582524271843E-2</v>
      </c>
      <c r="N9" s="440">
        <f t="shared" si="3"/>
        <v>3.8834951456310678E-3</v>
      </c>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thickBot="1" x14ac:dyDescent="0.3">
      <c r="A10" s="42"/>
      <c r="B10" s="88"/>
      <c r="C10" s="39"/>
      <c r="D10" s="39"/>
      <c r="E10" s="39"/>
      <c r="F10" s="39"/>
      <c r="G10" s="39"/>
      <c r="H10" s="39"/>
      <c r="I10" s="47"/>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thickBot="1" x14ac:dyDescent="0.3">
      <c r="A11" s="42"/>
      <c r="B11" s="444" t="s">
        <v>425</v>
      </c>
      <c r="C11" s="434" t="s">
        <v>426</v>
      </c>
      <c r="D11" s="445" t="s">
        <v>427</v>
      </c>
      <c r="E11" s="445" t="s">
        <v>127</v>
      </c>
      <c r="F11" s="446" t="s">
        <v>428</v>
      </c>
      <c r="G11" s="213"/>
      <c r="H11" s="213"/>
      <c r="I11" s="47"/>
      <c r="J11" s="36" t="s">
        <v>429</v>
      </c>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x14ac:dyDescent="0.25">
      <c r="A12" s="42"/>
      <c r="B12" s="436" t="s">
        <v>6</v>
      </c>
      <c r="C12" s="437">
        <v>32000</v>
      </c>
      <c r="D12" s="447">
        <v>1</v>
      </c>
      <c r="E12" s="448">
        <v>0.87</v>
      </c>
      <c r="F12" s="449">
        <v>930</v>
      </c>
      <c r="G12" s="450"/>
      <c r="H12" s="450"/>
      <c r="I12" s="47"/>
      <c r="J12" s="36" t="s">
        <v>430</v>
      </c>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436" t="s">
        <v>8</v>
      </c>
      <c r="C13" s="437">
        <v>14000</v>
      </c>
      <c r="D13" s="451">
        <v>1.22</v>
      </c>
      <c r="E13" s="448">
        <v>1.05</v>
      </c>
      <c r="F13" s="449">
        <v>450</v>
      </c>
      <c r="G13" s="450"/>
      <c r="H13" s="450"/>
      <c r="I13" s="47"/>
      <c r="J13" s="452" t="s">
        <v>431</v>
      </c>
      <c r="K13" s="453">
        <f>1-B18-SUM(L9:N9)</f>
        <v>0.88836041212601546</v>
      </c>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thickBot="1" x14ac:dyDescent="0.3">
      <c r="A14" s="42"/>
      <c r="B14" s="441" t="s">
        <v>11</v>
      </c>
      <c r="C14" s="442">
        <v>8000</v>
      </c>
      <c r="D14" s="454">
        <v>1.35</v>
      </c>
      <c r="E14" s="455">
        <v>0.68</v>
      </c>
      <c r="F14" s="456">
        <v>78</v>
      </c>
      <c r="G14" s="450"/>
      <c r="H14" s="450"/>
      <c r="I14" s="57"/>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thickBot="1" x14ac:dyDescent="0.3">
      <c r="A15" s="42"/>
      <c r="B15" s="213"/>
      <c r="C15" s="213"/>
      <c r="D15" s="213"/>
      <c r="E15" s="213"/>
      <c r="F15" s="213"/>
      <c r="G15" s="450"/>
      <c r="H15" s="450"/>
      <c r="I15" s="57"/>
      <c r="J15" s="36" t="s">
        <v>40</v>
      </c>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457">
        <v>24000</v>
      </c>
      <c r="C16" s="458" t="s">
        <v>432</v>
      </c>
      <c r="D16" s="459"/>
      <c r="E16" s="459"/>
      <c r="F16" s="460"/>
      <c r="G16" s="450"/>
      <c r="H16" s="450"/>
      <c r="I16" s="57"/>
      <c r="J16" s="36" t="s">
        <v>433</v>
      </c>
      <c r="K16" s="199">
        <f>SUM(E7:E9)/SUM(D7:D9)</f>
        <v>0.90845070422535212</v>
      </c>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461">
        <v>0.03</v>
      </c>
      <c r="C17" s="462" t="s">
        <v>434</v>
      </c>
      <c r="D17" s="213"/>
      <c r="E17" s="213"/>
      <c r="F17" s="463"/>
      <c r="G17" s="450"/>
      <c r="H17" s="450"/>
      <c r="I17" s="57"/>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464">
        <v>3.5000000000000003E-2</v>
      </c>
      <c r="C18" s="462" t="s">
        <v>435</v>
      </c>
      <c r="D18" s="213"/>
      <c r="E18" s="213"/>
      <c r="F18" s="463"/>
      <c r="G18" s="450"/>
      <c r="H18" s="450"/>
      <c r="I18" s="57"/>
      <c r="J18" s="36" t="s">
        <v>436</v>
      </c>
      <c r="K18" s="465">
        <f>K16/K13-1</f>
        <v>2.261502406580318E-2</v>
      </c>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thickBot="1" x14ac:dyDescent="0.3">
      <c r="A19" s="42"/>
      <c r="B19" s="466">
        <v>1000</v>
      </c>
      <c r="C19" s="467" t="s">
        <v>437</v>
      </c>
      <c r="D19" s="468"/>
      <c r="E19" s="257"/>
      <c r="F19" s="469"/>
      <c r="G19" s="429"/>
      <c r="H19" s="429"/>
      <c r="I19" s="57"/>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thickBot="1" x14ac:dyDescent="0.3">
      <c r="A20" s="42"/>
      <c r="B20" s="428"/>
      <c r="C20" s="428"/>
      <c r="D20" s="213"/>
      <c r="E20" s="213"/>
      <c r="F20" s="213"/>
      <c r="G20" s="470"/>
      <c r="H20" s="450"/>
      <c r="I20" s="57"/>
      <c r="J20" s="36" t="s">
        <v>43</v>
      </c>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thickBot="1" x14ac:dyDescent="0.3">
      <c r="A21" s="42"/>
      <c r="B21" s="88" t="s">
        <v>438</v>
      </c>
      <c r="C21" s="428"/>
      <c r="D21" s="39"/>
      <c r="E21" s="39"/>
      <c r="F21" s="39"/>
      <c r="G21" s="429"/>
      <c r="H21" s="429"/>
      <c r="I21" s="57"/>
      <c r="J21" s="444" t="s">
        <v>425</v>
      </c>
      <c r="K21" s="36" t="s">
        <v>439</v>
      </c>
      <c r="L21" s="83" t="s">
        <v>440</v>
      </c>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c r="B22" s="88" t="s">
        <v>441</v>
      </c>
      <c r="C22" s="428"/>
      <c r="D22" s="39"/>
      <c r="E22" s="39"/>
      <c r="F22" s="39"/>
      <c r="G22" s="429"/>
      <c r="H22" s="429"/>
      <c r="I22" s="57"/>
      <c r="J22" s="436" t="s">
        <v>6</v>
      </c>
      <c r="K22" s="36">
        <f>F12/$B$17</f>
        <v>31000</v>
      </c>
      <c r="L22" s="83">
        <v>1</v>
      </c>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c r="B23" s="88" t="s">
        <v>442</v>
      </c>
      <c r="C23" s="428"/>
      <c r="D23" s="39"/>
      <c r="E23" s="39"/>
      <c r="F23" s="39"/>
      <c r="G23" s="429"/>
      <c r="H23" s="429"/>
      <c r="I23" s="57"/>
      <c r="J23" s="436" t="s">
        <v>8</v>
      </c>
      <c r="K23" s="36">
        <f t="shared" ref="K23:K24" si="4">F13/$B$17</f>
        <v>15000</v>
      </c>
      <c r="L23" s="83">
        <f>SQRT(K23/$B$16)</f>
        <v>0.79056941504209488</v>
      </c>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thickBot="1" x14ac:dyDescent="0.3">
      <c r="A24" s="42"/>
      <c r="B24" s="88" t="s">
        <v>443</v>
      </c>
      <c r="C24" s="428"/>
      <c r="D24" s="39"/>
      <c r="E24" s="39"/>
      <c r="F24" s="39"/>
      <c r="G24" s="429"/>
      <c r="H24" s="429"/>
      <c r="I24" s="57"/>
      <c r="J24" s="441" t="s">
        <v>11</v>
      </c>
      <c r="K24" s="36">
        <f t="shared" si="4"/>
        <v>2600</v>
      </c>
      <c r="L24" s="83">
        <f>SQRT(K24/$B$16)</f>
        <v>0.32914029430219166</v>
      </c>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2"/>
      <c r="B25" s="88"/>
      <c r="C25" s="39"/>
      <c r="D25" s="39"/>
      <c r="E25" s="39"/>
      <c r="F25" s="39"/>
      <c r="G25" s="46"/>
      <c r="H25" s="46"/>
      <c r="I25" s="40"/>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42">
        <v>1.5</v>
      </c>
      <c r="B26" s="39" t="s">
        <v>46</v>
      </c>
      <c r="C26" s="39"/>
      <c r="D26" s="39"/>
      <c r="E26" s="39"/>
      <c r="F26" s="39"/>
      <c r="G26" s="46"/>
      <c r="H26" s="46"/>
      <c r="I26" s="40"/>
      <c r="J26" s="36" t="s">
        <v>44</v>
      </c>
      <c r="K26" s="36" t="s">
        <v>444</v>
      </c>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thickBot="1" x14ac:dyDescent="0.3">
      <c r="A27" s="42"/>
      <c r="B27" s="133" t="s">
        <v>445</v>
      </c>
      <c r="C27" s="39"/>
      <c r="D27" s="39"/>
      <c r="E27" s="39"/>
      <c r="F27" s="39"/>
      <c r="G27" s="46"/>
      <c r="H27" s="46"/>
      <c r="I27" s="40"/>
      <c r="J27" s="36" t="s">
        <v>446</v>
      </c>
      <c r="K27" s="36">
        <f>SUMPRODUCT(C12:C14,E12:E14)/SUM(C12:C14)</f>
        <v>0.88851851851851849</v>
      </c>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thickBot="1" x14ac:dyDescent="0.3">
      <c r="A28" s="42"/>
      <c r="B28" s="133"/>
      <c r="C28" s="39"/>
      <c r="D28" s="39"/>
      <c r="E28" s="39"/>
      <c r="F28" s="39"/>
      <c r="G28" s="46"/>
      <c r="H28" s="46"/>
      <c r="I28" s="40"/>
      <c r="J28" s="444" t="s">
        <v>425</v>
      </c>
      <c r="K28" s="36"/>
      <c r="L28" s="36" t="s">
        <v>447</v>
      </c>
      <c r="M28" s="36" t="s">
        <v>448</v>
      </c>
      <c r="N28" s="36" t="s">
        <v>449</v>
      </c>
      <c r="O28" s="36" t="s">
        <v>450</v>
      </c>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42">
        <v>0.5</v>
      </c>
      <c r="B29" s="39" t="s">
        <v>21</v>
      </c>
      <c r="C29" s="39"/>
      <c r="D29" s="39"/>
      <c r="E29" s="39"/>
      <c r="F29" s="39"/>
      <c r="G29" s="39"/>
      <c r="H29" s="39"/>
      <c r="I29" s="40"/>
      <c r="J29" s="436" t="s">
        <v>6</v>
      </c>
      <c r="K29" s="36">
        <f>E12/$K$27</f>
        <v>0.97915798249270536</v>
      </c>
      <c r="L29" s="36">
        <f>D12/$K$33</f>
        <v>0.90180360721442887</v>
      </c>
      <c r="M29" s="36">
        <f>K29*L29</f>
        <v>0.88300820064472429</v>
      </c>
      <c r="N29" s="36">
        <f>M29*L22+L29*(1-L22)</f>
        <v>0.88300820064472429</v>
      </c>
      <c r="O29" s="36">
        <f>N29/$N$29</f>
        <v>1</v>
      </c>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42"/>
      <c r="B30" s="39" t="s">
        <v>451</v>
      </c>
      <c r="C30" s="39"/>
      <c r="D30" s="39"/>
      <c r="E30" s="39"/>
      <c r="F30" s="39"/>
      <c r="G30" s="39"/>
      <c r="H30" s="39"/>
      <c r="I30" s="40"/>
      <c r="J30" s="436" t="s">
        <v>8</v>
      </c>
      <c r="K30" s="36">
        <f t="shared" ref="K30:K31" si="5">E13/$K$27</f>
        <v>1.1817423926636099</v>
      </c>
      <c r="L30" s="36">
        <f t="shared" ref="L30:L31" si="6">D13/$K$33</f>
        <v>1.1002004008016033</v>
      </c>
      <c r="M30" s="36">
        <f t="shared" ref="M30:M31" si="7">K30*L30</f>
        <v>1.3001534540527493</v>
      </c>
      <c r="N30" s="36">
        <f t="shared" ref="N30:N31" si="8">M30*L23+L30*(1-L23)</f>
        <v>1.2582771691462427</v>
      </c>
      <c r="O30" s="36">
        <f t="shared" ref="O30:O31" si="9">N30/$N$29</f>
        <v>1.4249892223283063</v>
      </c>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thickBot="1" x14ac:dyDescent="0.3">
      <c r="A31" s="42"/>
      <c r="B31" s="39"/>
      <c r="C31" s="39"/>
      <c r="D31" s="39"/>
      <c r="E31" s="39"/>
      <c r="F31" s="39"/>
      <c r="G31" s="39"/>
      <c r="H31" s="39"/>
      <c r="I31" s="40"/>
      <c r="J31" s="441" t="s">
        <v>11</v>
      </c>
      <c r="K31" s="36">
        <f t="shared" si="5"/>
        <v>0.76531888286786165</v>
      </c>
      <c r="L31" s="36">
        <f t="shared" si="6"/>
        <v>1.2174348697394792</v>
      </c>
      <c r="M31" s="36">
        <f t="shared" si="7"/>
        <v>0.93172589447339893</v>
      </c>
      <c r="N31" s="36">
        <f t="shared" si="8"/>
        <v>1.1233965335356237</v>
      </c>
      <c r="O31" s="36">
        <f t="shared" si="9"/>
        <v>1.2722379392573941</v>
      </c>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42">
        <v>0.5</v>
      </c>
      <c r="B32" s="39" t="s">
        <v>52</v>
      </c>
      <c r="C32" s="39"/>
      <c r="D32" s="39"/>
      <c r="E32" s="39"/>
      <c r="F32" s="39"/>
      <c r="G32" s="39"/>
      <c r="H32" s="39"/>
      <c r="I32" s="40"/>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42"/>
      <c r="B33" s="39" t="s">
        <v>452</v>
      </c>
      <c r="C33" s="39"/>
      <c r="D33" s="39"/>
      <c r="E33" s="39"/>
      <c r="F33" s="39"/>
      <c r="G33" s="39"/>
      <c r="H33" s="39"/>
      <c r="I33" s="40"/>
      <c r="J33" s="36"/>
      <c r="K33" s="36">
        <f>SUMPRODUCT($C$12:$C$14,D12:D14)/SUM($C$12:$C$14)</f>
        <v>1.1088888888888888</v>
      </c>
      <c r="L33" s="36">
        <f>SUMPRODUCT($C$12:$C$14,M29:M31)/SUM($C$12:$C$14)</f>
        <v>0.99837440616957152</v>
      </c>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42"/>
      <c r="B34" s="39"/>
      <c r="C34" s="39"/>
      <c r="D34" s="39"/>
      <c r="E34" s="39"/>
      <c r="F34" s="39"/>
      <c r="G34" s="39"/>
      <c r="H34" s="39"/>
      <c r="I34" s="40"/>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42">
        <v>1.25</v>
      </c>
      <c r="B35" s="39" t="s">
        <v>54</v>
      </c>
      <c r="C35" s="39"/>
      <c r="D35" s="256"/>
      <c r="E35" s="70"/>
      <c r="F35" s="70"/>
      <c r="G35" s="71"/>
      <c r="H35" s="39"/>
      <c r="I35" s="40"/>
      <c r="J35" s="36"/>
      <c r="K35" s="36">
        <f>(C12/D12*O29+C13/D13*O30+C14/D14*O31)</f>
        <v>55891.52312638564</v>
      </c>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42"/>
      <c r="B36" s="39" t="s">
        <v>453</v>
      </c>
      <c r="C36" s="39"/>
      <c r="D36" s="256"/>
      <c r="E36" s="70"/>
      <c r="F36" s="70"/>
      <c r="G36" s="71"/>
      <c r="H36" s="39"/>
      <c r="I36" s="40"/>
      <c r="J36" s="36"/>
      <c r="K36" s="36">
        <f>SUM(C12:C14)*(1+K18)</f>
        <v>55221.211299553375</v>
      </c>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thickBot="1" x14ac:dyDescent="0.3">
      <c r="A37" s="75"/>
      <c r="B37" s="76"/>
      <c r="C37" s="257"/>
      <c r="D37" s="258"/>
      <c r="E37" s="258"/>
      <c r="F37" s="258"/>
      <c r="G37" s="258"/>
      <c r="H37" s="258"/>
      <c r="I37" s="259"/>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c r="D38" s="82"/>
      <c r="E38" s="82"/>
      <c r="F38" s="82"/>
      <c r="G38" s="82"/>
      <c r="H38" s="82"/>
      <c r="I38" s="82"/>
      <c r="J38" s="83" t="s">
        <v>454</v>
      </c>
      <c r="K38" s="83">
        <f>K36/K35-1</f>
        <v>-1.1993085701323847E-2</v>
      </c>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82"/>
      <c r="H39" s="82"/>
      <c r="I39" s="82"/>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82"/>
      <c r="H40" s="82"/>
      <c r="I40" s="82"/>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82"/>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82"/>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82"/>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82"/>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70" firstPageNumber="0" orientation="portrait"/>
  <headerFooter alignWithMargins="0">
    <oddHeader>&amp;CSpring 2018 Exam 5 Make-Up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Z200"/>
  <sheetViews>
    <sheetView topLeftCell="A16" workbookViewId="0">
      <selection activeCell="L26" sqref="L26"/>
    </sheetView>
  </sheetViews>
  <sheetFormatPr defaultColWidth="0" defaultRowHeight="0" customHeight="1" zeroHeight="1" x14ac:dyDescent="0.25"/>
  <cols>
    <col min="1" max="1" width="13.125" style="37" customWidth="1"/>
    <col min="2" max="3" width="10.625" style="37" customWidth="1"/>
    <col min="4" max="4" width="14.25" style="37" customWidth="1"/>
    <col min="5" max="49" width="10.625" style="37" customWidth="1"/>
    <col min="50" max="16384" width="10.625" style="37" hidden="1"/>
  </cols>
  <sheetData>
    <row r="1" spans="1:52" ht="15.75" customHeight="1" thickBot="1" x14ac:dyDescent="0.3">
      <c r="A1" s="1">
        <v>12</v>
      </c>
      <c r="B1" s="2"/>
      <c r="C1" s="471"/>
      <c r="D1" s="471"/>
      <c r="E1" s="471"/>
      <c r="F1" s="471"/>
      <c r="G1" s="471"/>
      <c r="H1" s="471"/>
      <c r="I1" s="472"/>
      <c r="J1" s="82"/>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473" t="s">
        <v>0</v>
      </c>
      <c r="B2" s="474"/>
      <c r="C2" s="474"/>
      <c r="D2" s="474"/>
      <c r="E2" s="474"/>
      <c r="F2" s="474"/>
      <c r="G2" s="474"/>
      <c r="H2" s="474"/>
      <c r="I2" s="475"/>
      <c r="J2" s="82"/>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76">
        <v>1.5</v>
      </c>
      <c r="B3" s="474"/>
      <c r="C3" s="474"/>
      <c r="D3" s="474"/>
      <c r="E3" s="474"/>
      <c r="F3" s="474"/>
      <c r="G3" s="474"/>
      <c r="H3" s="474"/>
      <c r="I3" s="475"/>
      <c r="J3" s="82"/>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77"/>
      <c r="B4" s="478" t="s">
        <v>455</v>
      </c>
      <c r="C4" s="479"/>
      <c r="D4" s="479"/>
      <c r="E4" s="479"/>
      <c r="F4" s="479"/>
      <c r="G4" s="479"/>
      <c r="H4" s="479"/>
      <c r="I4" s="480"/>
      <c r="J4" s="89"/>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77"/>
      <c r="B5" s="478"/>
      <c r="C5" s="479"/>
      <c r="D5" s="479"/>
      <c r="E5" s="479"/>
      <c r="F5" s="479"/>
      <c r="G5" s="479"/>
      <c r="H5" s="479"/>
      <c r="I5" s="480"/>
      <c r="J5" s="89"/>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x14ac:dyDescent="0.25">
      <c r="A6" s="477"/>
      <c r="B6" s="481">
        <v>500000</v>
      </c>
      <c r="C6" s="482" t="s">
        <v>456</v>
      </c>
      <c r="D6" s="483"/>
      <c r="E6" s="484"/>
      <c r="F6" s="479"/>
      <c r="G6" s="479"/>
      <c r="H6" s="479"/>
      <c r="I6" s="480"/>
      <c r="J6" s="89"/>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77"/>
      <c r="B7" s="485">
        <v>350000</v>
      </c>
      <c r="C7" s="486" t="s">
        <v>457</v>
      </c>
      <c r="D7" s="480"/>
      <c r="E7" s="487"/>
      <c r="F7" s="487"/>
      <c r="G7" s="488"/>
      <c r="H7" s="487"/>
      <c r="I7" s="489"/>
      <c r="J7" s="89" t="s">
        <v>28</v>
      </c>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thickBot="1" x14ac:dyDescent="0.3">
      <c r="A8" s="477"/>
      <c r="B8" s="490">
        <v>0.8</v>
      </c>
      <c r="C8" s="491" t="s">
        <v>458</v>
      </c>
      <c r="D8" s="492"/>
      <c r="E8" s="487"/>
      <c r="F8" s="487"/>
      <c r="G8" s="488"/>
      <c r="H8" s="487"/>
      <c r="I8" s="489"/>
      <c r="J8" s="89" t="s">
        <v>459</v>
      </c>
      <c r="K8" s="493">
        <f>B7/(B6*B8)</f>
        <v>0.875</v>
      </c>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477"/>
      <c r="B9" s="494"/>
      <c r="C9" s="495"/>
      <c r="D9" s="479"/>
      <c r="E9" s="487"/>
      <c r="F9" s="487"/>
      <c r="G9" s="488"/>
      <c r="H9" s="487"/>
      <c r="I9" s="489"/>
      <c r="J9" s="89" t="s">
        <v>460</v>
      </c>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77"/>
      <c r="B10" s="494"/>
      <c r="C10" s="495"/>
      <c r="D10" s="479"/>
      <c r="E10" s="487"/>
      <c r="F10" s="487"/>
      <c r="G10" s="488"/>
      <c r="H10" s="487"/>
      <c r="I10" s="489"/>
      <c r="J10" s="89" t="s">
        <v>461</v>
      </c>
      <c r="K10" s="36">
        <f>MIN(350000,350000)-MIN(350000,350000*K8)</f>
        <v>43750</v>
      </c>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77"/>
      <c r="B11" s="494"/>
      <c r="C11" s="495"/>
      <c r="D11" s="479"/>
      <c r="E11" s="487"/>
      <c r="F11" s="487"/>
      <c r="G11" s="488"/>
      <c r="H11" s="487"/>
      <c r="I11" s="489"/>
      <c r="J11" s="89" t="s">
        <v>462</v>
      </c>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x14ac:dyDescent="0.25">
      <c r="A12" s="477"/>
      <c r="B12" s="494"/>
      <c r="C12" s="495"/>
      <c r="D12" s="479"/>
      <c r="E12" s="487"/>
      <c r="F12" s="487"/>
      <c r="G12" s="488"/>
      <c r="H12" s="487"/>
      <c r="I12" s="489"/>
      <c r="J12" s="89" t="s">
        <v>463</v>
      </c>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77"/>
      <c r="B13" s="494"/>
      <c r="C13" s="495"/>
      <c r="D13" s="479"/>
      <c r="E13" s="487"/>
      <c r="F13" s="487"/>
      <c r="G13" s="488"/>
      <c r="H13" s="487"/>
      <c r="I13" s="489"/>
      <c r="J13" s="496">
        <f>B6*B8</f>
        <v>400000</v>
      </c>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77"/>
      <c r="B14" s="494"/>
      <c r="C14" s="495"/>
      <c r="D14" s="479"/>
      <c r="E14" s="487"/>
      <c r="F14" s="487"/>
      <c r="G14" s="488"/>
      <c r="H14" s="487"/>
      <c r="I14" s="489"/>
      <c r="J14" s="89" t="s">
        <v>464</v>
      </c>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77"/>
      <c r="B15" s="494"/>
      <c r="C15" s="495"/>
      <c r="D15" s="479"/>
      <c r="E15" s="487"/>
      <c r="F15" s="487"/>
      <c r="G15" s="488"/>
      <c r="H15" s="487"/>
      <c r="I15" s="489"/>
      <c r="J15" s="89" t="s">
        <v>465</v>
      </c>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77"/>
      <c r="B16" s="494"/>
      <c r="C16" s="495"/>
      <c r="D16" s="479"/>
      <c r="E16" s="487"/>
      <c r="F16" s="487"/>
      <c r="G16" s="488"/>
      <c r="H16" s="487"/>
      <c r="I16" s="489"/>
      <c r="J16" s="89" t="s">
        <v>466</v>
      </c>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77"/>
      <c r="B17" s="494"/>
      <c r="C17" s="495"/>
      <c r="D17" s="479"/>
      <c r="E17" s="487"/>
      <c r="F17" s="487"/>
      <c r="G17" s="488"/>
      <c r="H17" s="487"/>
      <c r="I17" s="489"/>
      <c r="J17" s="89"/>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77"/>
      <c r="B18" s="494"/>
      <c r="C18" s="495"/>
      <c r="D18" s="479"/>
      <c r="E18" s="487"/>
      <c r="F18" s="487"/>
      <c r="G18" s="488"/>
      <c r="H18" s="487"/>
      <c r="I18" s="489"/>
      <c r="J18" s="89"/>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77"/>
      <c r="B19" s="494"/>
      <c r="C19" s="495"/>
      <c r="D19" s="479"/>
      <c r="E19" s="487"/>
      <c r="F19" s="487"/>
      <c r="G19" s="488"/>
      <c r="H19" s="487"/>
      <c r="I19" s="489"/>
      <c r="J19" s="89"/>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77"/>
      <c r="B20" s="494"/>
      <c r="C20" s="495"/>
      <c r="D20" s="479"/>
      <c r="E20" s="487"/>
      <c r="F20" s="487"/>
      <c r="G20" s="488"/>
      <c r="H20" s="487"/>
      <c r="I20" s="489"/>
      <c r="J20" s="89"/>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77"/>
      <c r="B21" s="494"/>
      <c r="C21" s="495"/>
      <c r="D21" s="479"/>
      <c r="E21" s="487"/>
      <c r="F21" s="487"/>
      <c r="G21" s="488"/>
      <c r="H21" s="487"/>
      <c r="I21" s="489"/>
      <c r="J21" s="89"/>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77"/>
      <c r="B22" s="494"/>
      <c r="C22" s="495"/>
      <c r="D22" s="479"/>
      <c r="E22" s="487"/>
      <c r="F22" s="487"/>
      <c r="G22" s="488"/>
      <c r="H22" s="487"/>
      <c r="I22" s="489"/>
      <c r="J22" s="89"/>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77"/>
      <c r="B23" s="494"/>
      <c r="C23" s="495"/>
      <c r="D23" s="479"/>
      <c r="E23" s="487"/>
      <c r="F23" s="487"/>
      <c r="G23" s="488"/>
      <c r="H23" s="487"/>
      <c r="I23" s="489"/>
      <c r="J23" s="89"/>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77"/>
      <c r="B24" s="494"/>
      <c r="C24" s="495"/>
      <c r="D24" s="479"/>
      <c r="E24" s="487"/>
      <c r="F24" s="487"/>
      <c r="G24" s="488"/>
      <c r="H24" s="487"/>
      <c r="I24" s="489"/>
      <c r="J24" s="89"/>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77"/>
      <c r="B25" s="494"/>
      <c r="C25" s="495"/>
      <c r="D25" s="479"/>
      <c r="E25" s="487"/>
      <c r="F25" s="487"/>
      <c r="G25" s="488"/>
      <c r="H25" s="487"/>
      <c r="I25" s="489"/>
      <c r="J25" s="89"/>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477"/>
      <c r="B26" s="494"/>
      <c r="C26" s="495"/>
      <c r="D26" s="479"/>
      <c r="E26" s="487"/>
      <c r="F26" s="487"/>
      <c r="G26" s="488"/>
      <c r="H26" s="487"/>
      <c r="I26" s="489"/>
      <c r="J26" s="89"/>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477"/>
      <c r="B27" s="494"/>
      <c r="C27" s="495"/>
      <c r="D27" s="479"/>
      <c r="E27" s="487"/>
      <c r="F27" s="487"/>
      <c r="G27" s="488"/>
      <c r="H27" s="487"/>
      <c r="I27" s="489"/>
      <c r="J27" s="89"/>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477"/>
      <c r="B28" s="494"/>
      <c r="C28" s="495"/>
      <c r="D28" s="479"/>
      <c r="E28" s="487"/>
      <c r="F28" s="487"/>
      <c r="G28" s="488"/>
      <c r="H28" s="487"/>
      <c r="I28" s="489"/>
      <c r="J28" s="89"/>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477"/>
      <c r="B29" s="494"/>
      <c r="C29" s="495"/>
      <c r="D29" s="479"/>
      <c r="E29" s="487"/>
      <c r="F29" s="487"/>
      <c r="G29" s="488"/>
      <c r="H29" s="487"/>
      <c r="I29" s="489"/>
      <c r="J29" s="89"/>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477"/>
      <c r="B30" s="494"/>
      <c r="C30" s="495"/>
      <c r="D30" s="479"/>
      <c r="E30" s="487"/>
      <c r="F30" s="487"/>
      <c r="G30" s="488"/>
      <c r="H30" s="487"/>
      <c r="I30" s="489"/>
      <c r="J30" s="89"/>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477"/>
      <c r="B31" s="494"/>
      <c r="C31" s="495"/>
      <c r="D31" s="479"/>
      <c r="E31" s="487"/>
      <c r="F31" s="487"/>
      <c r="G31" s="488"/>
      <c r="H31" s="487"/>
      <c r="I31" s="489"/>
      <c r="J31" s="89"/>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477"/>
      <c r="B32" s="494"/>
      <c r="C32" s="495"/>
      <c r="D32" s="479"/>
      <c r="E32" s="487"/>
      <c r="F32" s="487"/>
      <c r="G32" s="488"/>
      <c r="H32" s="487"/>
      <c r="I32" s="489"/>
      <c r="J32" s="89"/>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477"/>
      <c r="B33" s="494"/>
      <c r="C33" s="495"/>
      <c r="D33" s="479"/>
      <c r="E33" s="487"/>
      <c r="F33" s="487"/>
      <c r="G33" s="488"/>
      <c r="H33" s="487"/>
      <c r="I33" s="489"/>
      <c r="J33" s="89"/>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477"/>
      <c r="B34" s="494"/>
      <c r="C34" s="495"/>
      <c r="D34" s="479"/>
      <c r="E34" s="487"/>
      <c r="F34" s="487"/>
      <c r="G34" s="488"/>
      <c r="H34" s="487"/>
      <c r="I34" s="489"/>
      <c r="J34" s="89"/>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477"/>
      <c r="B35" s="494"/>
      <c r="C35" s="495"/>
      <c r="D35" s="479"/>
      <c r="E35" s="487"/>
      <c r="F35" s="487"/>
      <c r="G35" s="488"/>
      <c r="H35" s="487"/>
      <c r="I35" s="489"/>
      <c r="J35" s="89"/>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476">
        <v>1</v>
      </c>
      <c r="B36" s="494" t="s">
        <v>19</v>
      </c>
      <c r="C36" s="495"/>
      <c r="D36" s="479"/>
      <c r="E36" s="487"/>
      <c r="F36" s="487"/>
      <c r="G36" s="488"/>
      <c r="H36" s="487"/>
      <c r="I36" s="489"/>
      <c r="J36" s="89"/>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476"/>
      <c r="B37" s="497" t="s">
        <v>467</v>
      </c>
      <c r="C37" s="495"/>
      <c r="D37" s="479"/>
      <c r="E37" s="487"/>
      <c r="F37" s="487"/>
      <c r="G37" s="488"/>
      <c r="H37" s="487"/>
      <c r="I37" s="489"/>
      <c r="J37" s="89"/>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476"/>
      <c r="B38" s="494"/>
      <c r="C38" s="495"/>
      <c r="D38" s="479"/>
      <c r="E38" s="487"/>
      <c r="F38" s="487"/>
      <c r="G38" s="488"/>
      <c r="H38" s="487"/>
      <c r="I38" s="489"/>
      <c r="J38" s="89"/>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476">
        <v>0.25</v>
      </c>
      <c r="B39" s="494" t="s">
        <v>21</v>
      </c>
      <c r="C39" s="495"/>
      <c r="D39" s="479"/>
      <c r="E39" s="487"/>
      <c r="F39" s="487"/>
      <c r="G39" s="488"/>
      <c r="H39" s="487"/>
      <c r="I39" s="489"/>
      <c r="J39" s="89"/>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476"/>
      <c r="B40" s="497" t="s">
        <v>468</v>
      </c>
      <c r="C40" s="495"/>
      <c r="D40" s="479"/>
      <c r="E40" s="487"/>
      <c r="F40" s="487"/>
      <c r="G40" s="488"/>
      <c r="H40" s="487"/>
      <c r="I40" s="489"/>
      <c r="J40" s="89"/>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476"/>
      <c r="B41" s="494"/>
      <c r="C41" s="495"/>
      <c r="D41" s="479"/>
      <c r="E41" s="487"/>
      <c r="F41" s="487"/>
      <c r="G41" s="488"/>
      <c r="H41" s="487"/>
      <c r="I41" s="489"/>
      <c r="J41" s="89"/>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476">
        <v>0.5</v>
      </c>
      <c r="B42" s="498" t="s">
        <v>52</v>
      </c>
      <c r="C42" s="495"/>
      <c r="D42" s="479"/>
      <c r="E42" s="487"/>
      <c r="F42" s="487"/>
      <c r="G42" s="488"/>
      <c r="H42" s="487"/>
      <c r="I42" s="489"/>
      <c r="J42" s="89"/>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477"/>
      <c r="B43" s="497" t="s">
        <v>469</v>
      </c>
      <c r="C43" s="499"/>
      <c r="D43" s="500"/>
      <c r="E43" s="501"/>
      <c r="F43" s="501"/>
      <c r="G43" s="488"/>
      <c r="H43" s="499"/>
      <c r="I43" s="502"/>
      <c r="J43" s="89"/>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thickBot="1" x14ac:dyDescent="0.3">
      <c r="A44" s="503"/>
      <c r="B44" s="504"/>
      <c r="C44" s="504"/>
      <c r="D44" s="504"/>
      <c r="E44" s="504"/>
      <c r="F44" s="504"/>
      <c r="G44" s="505"/>
      <c r="H44" s="504"/>
      <c r="I44" s="506"/>
      <c r="J44" s="89"/>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82"/>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82"/>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82"/>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82"/>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82"/>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82"/>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82"/>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82"/>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82"/>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82"/>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82"/>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82"/>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82"/>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82"/>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82"/>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82"/>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82"/>
      <c r="H61" s="82"/>
      <c r="I61" s="82"/>
      <c r="J61" s="82"/>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15.75"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67" firstPageNumber="0" orientation="portrait"/>
  <headerFooter alignWithMargins="0">
    <oddHeader>&amp;CSpring 2018 Exam 5 Make-Up</oddHead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Z200"/>
  <sheetViews>
    <sheetView zoomScale="70" zoomScaleNormal="70" zoomScalePageLayoutView="70" workbookViewId="0">
      <selection activeCell="N38" sqref="N38"/>
    </sheetView>
  </sheetViews>
  <sheetFormatPr defaultColWidth="0" defaultRowHeight="0" customHeight="1" zeroHeight="1" x14ac:dyDescent="0.25"/>
  <cols>
    <col min="1" max="1" width="13.125" style="37" customWidth="1"/>
    <col min="2" max="8" width="10.625" style="37" customWidth="1"/>
    <col min="9" max="9" width="12.875" style="37" customWidth="1"/>
    <col min="10" max="10" width="12.625" style="37" bestFit="1" customWidth="1"/>
    <col min="11" max="49" width="10.625" style="37" customWidth="1"/>
    <col min="50" max="16384" width="10.625" style="37" hidden="1"/>
  </cols>
  <sheetData>
    <row r="1" spans="1:52" ht="15.75" customHeight="1" thickBot="1" x14ac:dyDescent="0.3">
      <c r="A1" s="1">
        <v>12</v>
      </c>
      <c r="B1" s="2"/>
      <c r="C1" s="471"/>
      <c r="D1" s="471"/>
      <c r="E1" s="471"/>
      <c r="F1" s="471"/>
      <c r="G1" s="471"/>
      <c r="H1" s="471"/>
      <c r="I1" s="472"/>
      <c r="J1" s="82"/>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473" t="s">
        <v>0</v>
      </c>
      <c r="B2" s="474"/>
      <c r="C2" s="474"/>
      <c r="D2" s="474"/>
      <c r="E2" s="474"/>
      <c r="F2" s="474"/>
      <c r="G2" s="474"/>
      <c r="H2" s="474"/>
      <c r="I2" s="475"/>
      <c r="J2" s="82"/>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76">
        <v>1.5</v>
      </c>
      <c r="B3" s="474"/>
      <c r="C3" s="474"/>
      <c r="D3" s="474"/>
      <c r="E3" s="474"/>
      <c r="F3" s="474"/>
      <c r="G3" s="474"/>
      <c r="H3" s="474"/>
      <c r="I3" s="475"/>
      <c r="J3" s="82"/>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77"/>
      <c r="B4" s="478" t="s">
        <v>455</v>
      </c>
      <c r="C4" s="479"/>
      <c r="D4" s="479"/>
      <c r="E4" s="479"/>
      <c r="F4" s="479"/>
      <c r="G4" s="479"/>
      <c r="H4" s="479"/>
      <c r="I4" s="480"/>
      <c r="J4" s="89"/>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77"/>
      <c r="B5" s="478"/>
      <c r="C5" s="479"/>
      <c r="D5" s="479"/>
      <c r="E5" s="479"/>
      <c r="F5" s="479"/>
      <c r="G5" s="479"/>
      <c r="H5" s="479"/>
      <c r="I5" s="480"/>
      <c r="J5" s="89"/>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x14ac:dyDescent="0.25">
      <c r="A6" s="477"/>
      <c r="B6" s="481">
        <v>500000</v>
      </c>
      <c r="C6" s="482" t="s">
        <v>456</v>
      </c>
      <c r="D6" s="483"/>
      <c r="E6" s="484"/>
      <c r="F6" s="479"/>
      <c r="G6" s="479"/>
      <c r="H6" s="479"/>
      <c r="I6" s="480"/>
      <c r="J6" s="89"/>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77"/>
      <c r="B7" s="485">
        <v>350000</v>
      </c>
      <c r="C7" s="486" t="s">
        <v>457</v>
      </c>
      <c r="D7" s="480"/>
      <c r="E7" s="487"/>
      <c r="F7" s="487"/>
      <c r="G7" s="488"/>
      <c r="H7" s="487"/>
      <c r="I7" s="489"/>
      <c r="J7" s="89"/>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thickBot="1" x14ac:dyDescent="0.3">
      <c r="A8" s="477"/>
      <c r="B8" s="490">
        <v>0.8</v>
      </c>
      <c r="C8" s="491" t="s">
        <v>458</v>
      </c>
      <c r="D8" s="492"/>
      <c r="E8" s="487"/>
      <c r="F8" s="487"/>
      <c r="G8" s="488"/>
      <c r="H8" s="487"/>
      <c r="I8" s="489"/>
      <c r="J8" s="89"/>
      <c r="K8" s="36" t="s">
        <v>470</v>
      </c>
      <c r="L8" s="36" t="s">
        <v>471</v>
      </c>
      <c r="M8" s="36">
        <f>B7/B6/B8</f>
        <v>0.87499999999999989</v>
      </c>
      <c r="N8" s="36"/>
      <c r="O8" s="36"/>
      <c r="P8" s="36" t="s">
        <v>472</v>
      </c>
      <c r="Q8" s="36" t="s">
        <v>473</v>
      </c>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477"/>
      <c r="B9" s="494"/>
      <c r="C9" s="495"/>
      <c r="D9" s="479"/>
      <c r="E9" s="487"/>
      <c r="F9" s="487"/>
      <c r="G9" s="488"/>
      <c r="H9" s="487"/>
      <c r="I9" s="489"/>
      <c r="J9" s="89"/>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77"/>
      <c r="B10" s="494"/>
      <c r="C10" s="495"/>
      <c r="D10" s="479"/>
      <c r="E10" s="487"/>
      <c r="F10" s="487"/>
      <c r="G10" s="488"/>
      <c r="H10" s="487"/>
      <c r="I10" s="489"/>
      <c r="J10" s="89"/>
      <c r="K10" s="36"/>
      <c r="L10" s="36" t="s">
        <v>474</v>
      </c>
      <c r="M10" s="36"/>
      <c r="N10" s="36"/>
      <c r="O10" s="36"/>
      <c r="P10" s="36"/>
      <c r="Q10" s="507">
        <f>B8*B6</f>
        <v>400000</v>
      </c>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77"/>
      <c r="B11" s="494"/>
      <c r="C11" s="495"/>
      <c r="D11" s="479"/>
      <c r="E11" s="487"/>
      <c r="F11" s="487"/>
      <c r="G11" s="488"/>
      <c r="H11" s="487"/>
      <c r="I11" s="489"/>
      <c r="J11" s="89"/>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x14ac:dyDescent="0.25">
      <c r="A12" s="477"/>
      <c r="B12" s="494"/>
      <c r="C12" s="495"/>
      <c r="D12" s="479"/>
      <c r="E12" s="487"/>
      <c r="F12" s="487"/>
      <c r="G12" s="488"/>
      <c r="H12" s="487"/>
      <c r="I12" s="489"/>
      <c r="J12" s="89"/>
      <c r="K12" s="36"/>
      <c r="L12" s="36" t="s">
        <v>475</v>
      </c>
      <c r="M12" s="36" t="s">
        <v>476</v>
      </c>
      <c r="N12" s="36" t="s">
        <v>477</v>
      </c>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77"/>
      <c r="B13" s="494"/>
      <c r="C13" s="495"/>
      <c r="D13" s="479"/>
      <c r="E13" s="487"/>
      <c r="F13" s="487"/>
      <c r="G13" s="488"/>
      <c r="H13" s="487"/>
      <c r="I13" s="489"/>
      <c r="J13" s="89"/>
      <c r="K13" s="36"/>
      <c r="L13" s="508">
        <v>50000</v>
      </c>
      <c r="M13" s="509">
        <f>MIN(L13*$M$8,$B$7)</f>
        <v>43749.999999999993</v>
      </c>
      <c r="N13" s="509">
        <f>MIN(L13,$B$7)-M13</f>
        <v>6250.0000000000073</v>
      </c>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77"/>
      <c r="B14" s="494"/>
      <c r="C14" s="495"/>
      <c r="D14" s="479"/>
      <c r="E14" s="487"/>
      <c r="F14" s="487"/>
      <c r="G14" s="488"/>
      <c r="H14" s="487"/>
      <c r="I14" s="489"/>
      <c r="J14" s="89"/>
      <c r="K14" s="36"/>
      <c r="L14" s="508">
        <v>100000</v>
      </c>
      <c r="M14" s="509">
        <f t="shared" ref="M14:M25" si="0">MIN(L14*$M$8,$B$7)</f>
        <v>87499.999999999985</v>
      </c>
      <c r="N14" s="509">
        <f t="shared" ref="N14:N25" si="1">MIN(L14,$B$7)-M14</f>
        <v>12500.000000000015</v>
      </c>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77"/>
      <c r="B15" s="494"/>
      <c r="C15" s="495"/>
      <c r="D15" s="479"/>
      <c r="E15" s="487"/>
      <c r="F15" s="487"/>
      <c r="G15" s="488"/>
      <c r="H15" s="487"/>
      <c r="I15" s="489"/>
      <c r="J15" s="89"/>
      <c r="K15" s="36"/>
      <c r="L15" s="508">
        <v>150000</v>
      </c>
      <c r="M15" s="509">
        <f t="shared" si="0"/>
        <v>131249.99999999997</v>
      </c>
      <c r="N15" s="509">
        <f t="shared" si="1"/>
        <v>18750.000000000029</v>
      </c>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77"/>
      <c r="B16" s="494"/>
      <c r="C16" s="495"/>
      <c r="D16" s="479"/>
      <c r="E16" s="487"/>
      <c r="F16" s="487"/>
      <c r="G16" s="488"/>
      <c r="H16" s="487"/>
      <c r="I16" s="489"/>
      <c r="J16" s="89"/>
      <c r="K16" s="36"/>
      <c r="L16" s="508">
        <v>200000</v>
      </c>
      <c r="M16" s="509">
        <f t="shared" si="0"/>
        <v>174999.99999999997</v>
      </c>
      <c r="N16" s="509">
        <f t="shared" si="1"/>
        <v>25000.000000000029</v>
      </c>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77"/>
      <c r="B17" s="494"/>
      <c r="C17" s="495"/>
      <c r="D17" s="479"/>
      <c r="E17" s="487"/>
      <c r="F17" s="487"/>
      <c r="G17" s="488"/>
      <c r="H17" s="487"/>
      <c r="I17" s="489"/>
      <c r="J17" s="89"/>
      <c r="K17" s="36"/>
      <c r="L17" s="508">
        <v>250000</v>
      </c>
      <c r="M17" s="509">
        <f t="shared" si="0"/>
        <v>218749.99999999997</v>
      </c>
      <c r="N17" s="509">
        <f t="shared" si="1"/>
        <v>31250.000000000029</v>
      </c>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77"/>
      <c r="B18" s="494"/>
      <c r="C18" s="495"/>
      <c r="D18" s="479"/>
      <c r="E18" s="487"/>
      <c r="F18" s="487"/>
      <c r="G18" s="488"/>
      <c r="H18" s="487"/>
      <c r="I18" s="489"/>
      <c r="J18" s="89"/>
      <c r="K18" s="36"/>
      <c r="L18" s="508">
        <v>300000</v>
      </c>
      <c r="M18" s="509">
        <f t="shared" si="0"/>
        <v>262499.99999999994</v>
      </c>
      <c r="N18" s="509">
        <f t="shared" si="1"/>
        <v>37500.000000000058</v>
      </c>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77"/>
      <c r="B19" s="494"/>
      <c r="C19" s="495"/>
      <c r="D19" s="479"/>
      <c r="E19" s="487"/>
      <c r="F19" s="487"/>
      <c r="G19" s="488"/>
      <c r="H19" s="487"/>
      <c r="I19" s="489"/>
      <c r="J19" s="89"/>
      <c r="K19" s="36"/>
      <c r="L19" s="510">
        <v>350000</v>
      </c>
      <c r="M19" s="507">
        <f t="shared" si="0"/>
        <v>306249.99999999994</v>
      </c>
      <c r="N19" s="507">
        <f t="shared" si="1"/>
        <v>43750.000000000058</v>
      </c>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77"/>
      <c r="B20" s="494"/>
      <c r="C20" s="495"/>
      <c r="D20" s="479"/>
      <c r="E20" s="487"/>
      <c r="F20" s="487"/>
      <c r="G20" s="488"/>
      <c r="H20" s="487"/>
      <c r="I20" s="489"/>
      <c r="J20" s="89"/>
      <c r="K20" s="36"/>
      <c r="L20" s="508">
        <v>360000</v>
      </c>
      <c r="M20" s="509">
        <f t="shared" si="0"/>
        <v>314999.99999999994</v>
      </c>
      <c r="N20" s="509">
        <f t="shared" si="1"/>
        <v>35000.000000000058</v>
      </c>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77"/>
      <c r="B21" s="494"/>
      <c r="C21" s="495"/>
      <c r="D21" s="479"/>
      <c r="E21" s="487"/>
      <c r="F21" s="487"/>
      <c r="G21" s="488"/>
      <c r="H21" s="487"/>
      <c r="I21" s="489"/>
      <c r="J21" s="89"/>
      <c r="K21" s="36"/>
      <c r="L21" s="508">
        <v>370000</v>
      </c>
      <c r="M21" s="509">
        <f t="shared" si="0"/>
        <v>323749.99999999994</v>
      </c>
      <c r="N21" s="509">
        <f t="shared" si="1"/>
        <v>26250.000000000058</v>
      </c>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77"/>
      <c r="B22" s="494"/>
      <c r="C22" s="495"/>
      <c r="D22" s="479"/>
      <c r="E22" s="487"/>
      <c r="F22" s="487"/>
      <c r="G22" s="488"/>
      <c r="H22" s="487"/>
      <c r="I22" s="489"/>
      <c r="J22" s="89"/>
      <c r="K22" s="36"/>
      <c r="L22" s="508">
        <v>380000</v>
      </c>
      <c r="M22" s="509">
        <f t="shared" si="0"/>
        <v>332499.99999999994</v>
      </c>
      <c r="N22" s="509">
        <f t="shared" si="1"/>
        <v>17500.000000000058</v>
      </c>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77"/>
      <c r="B23" s="494"/>
      <c r="C23" s="495"/>
      <c r="D23" s="479"/>
      <c r="E23" s="487"/>
      <c r="F23" s="487"/>
      <c r="G23" s="488"/>
      <c r="H23" s="487"/>
      <c r="I23" s="489"/>
      <c r="J23" s="89"/>
      <c r="K23" s="36"/>
      <c r="L23" s="508">
        <v>390000</v>
      </c>
      <c r="M23" s="509">
        <f t="shared" si="0"/>
        <v>341249.99999999994</v>
      </c>
      <c r="N23" s="509">
        <f t="shared" si="1"/>
        <v>8750.0000000000582</v>
      </c>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77"/>
      <c r="B24" s="494"/>
      <c r="C24" s="495"/>
      <c r="D24" s="479"/>
      <c r="E24" s="487"/>
      <c r="F24" s="487"/>
      <c r="G24" s="488"/>
      <c r="H24" s="487"/>
      <c r="I24" s="489"/>
      <c r="J24" s="89"/>
      <c r="K24" s="36"/>
      <c r="L24" s="508">
        <v>400000</v>
      </c>
      <c r="M24" s="509">
        <f t="shared" si="0"/>
        <v>349999.99999999994</v>
      </c>
      <c r="N24" s="509">
        <f t="shared" si="1"/>
        <v>0</v>
      </c>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77"/>
      <c r="B25" s="494"/>
      <c r="C25" s="495"/>
      <c r="D25" s="479"/>
      <c r="E25" s="487"/>
      <c r="F25" s="487"/>
      <c r="G25" s="488"/>
      <c r="H25" s="487"/>
      <c r="I25" s="489"/>
      <c r="J25" s="89"/>
      <c r="K25" s="36"/>
      <c r="L25" s="508">
        <v>450000</v>
      </c>
      <c r="M25" s="509">
        <f t="shared" si="0"/>
        <v>350000</v>
      </c>
      <c r="N25" s="509">
        <f t="shared" si="1"/>
        <v>0</v>
      </c>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477"/>
      <c r="B26" s="494"/>
      <c r="C26" s="495"/>
      <c r="D26" s="479"/>
      <c r="E26" s="487"/>
      <c r="F26" s="487"/>
      <c r="G26" s="488"/>
      <c r="H26" s="487"/>
      <c r="I26" s="489"/>
      <c r="J26" s="89"/>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477"/>
      <c r="B27" s="494"/>
      <c r="C27" s="495"/>
      <c r="D27" s="479"/>
      <c r="E27" s="487"/>
      <c r="F27" s="487"/>
      <c r="G27" s="488"/>
      <c r="H27" s="487"/>
      <c r="I27" s="489"/>
      <c r="J27" s="89"/>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477"/>
      <c r="B28" s="494"/>
      <c r="C28" s="495"/>
      <c r="D28" s="479"/>
      <c r="E28" s="487"/>
      <c r="F28" s="487"/>
      <c r="G28" s="488"/>
      <c r="H28" s="487"/>
      <c r="I28" s="489"/>
      <c r="J28" s="89"/>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477"/>
      <c r="B29" s="494"/>
      <c r="C29" s="495"/>
      <c r="D29" s="479"/>
      <c r="E29" s="487"/>
      <c r="F29" s="487"/>
      <c r="G29" s="488"/>
      <c r="H29" s="487"/>
      <c r="I29" s="489"/>
      <c r="J29" s="89"/>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477"/>
      <c r="B30" s="494"/>
      <c r="C30" s="495"/>
      <c r="D30" s="479"/>
      <c r="E30" s="487"/>
      <c r="F30" s="487"/>
      <c r="G30" s="488"/>
      <c r="H30" s="487"/>
      <c r="I30" s="489"/>
      <c r="J30" s="89"/>
      <c r="K30" s="36" t="s">
        <v>478</v>
      </c>
      <c r="L30" s="36" t="s">
        <v>479</v>
      </c>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477"/>
      <c r="B31" s="494"/>
      <c r="C31" s="495"/>
      <c r="D31" s="479"/>
      <c r="E31" s="487"/>
      <c r="F31" s="487"/>
      <c r="G31" s="488"/>
      <c r="H31" s="487"/>
      <c r="I31" s="489"/>
      <c r="J31" s="89"/>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477"/>
      <c r="B32" s="494"/>
      <c r="C32" s="495"/>
      <c r="D32" s="479"/>
      <c r="E32" s="487"/>
      <c r="F32" s="487"/>
      <c r="G32" s="488"/>
      <c r="H32" s="487"/>
      <c r="I32" s="489"/>
      <c r="J32" s="89"/>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477"/>
      <c r="B33" s="494"/>
      <c r="C33" s="495"/>
      <c r="D33" s="479"/>
      <c r="E33" s="487"/>
      <c r="F33" s="487"/>
      <c r="G33" s="488"/>
      <c r="H33" s="487"/>
      <c r="I33" s="489"/>
      <c r="J33" s="89"/>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477"/>
      <c r="B34" s="494"/>
      <c r="C34" s="495"/>
      <c r="D34" s="479"/>
      <c r="E34" s="487"/>
      <c r="F34" s="487"/>
      <c r="G34" s="488"/>
      <c r="H34" s="487"/>
      <c r="I34" s="489"/>
      <c r="J34" s="89"/>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477"/>
      <c r="B35" s="494"/>
      <c r="C35" s="495"/>
      <c r="D35" s="479"/>
      <c r="E35" s="487"/>
      <c r="F35" s="487"/>
      <c r="G35" s="488"/>
      <c r="H35" s="487"/>
      <c r="I35" s="489"/>
      <c r="J35" s="89"/>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476">
        <v>1</v>
      </c>
      <c r="B36" s="494" t="s">
        <v>19</v>
      </c>
      <c r="C36" s="495"/>
      <c r="D36" s="479"/>
      <c r="E36" s="487"/>
      <c r="F36" s="487"/>
      <c r="G36" s="488"/>
      <c r="H36" s="487"/>
      <c r="I36" s="489"/>
      <c r="J36" s="89"/>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476"/>
      <c r="B37" s="497" t="s">
        <v>467</v>
      </c>
      <c r="C37" s="495"/>
      <c r="D37" s="479"/>
      <c r="E37" s="487"/>
      <c r="F37" s="487"/>
      <c r="G37" s="488"/>
      <c r="H37" s="487"/>
      <c r="I37" s="489"/>
      <c r="J37" s="89"/>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476"/>
      <c r="B38" s="494"/>
      <c r="C38" s="495"/>
      <c r="D38" s="479"/>
      <c r="E38" s="487"/>
      <c r="F38" s="487"/>
      <c r="G38" s="488"/>
      <c r="H38" s="487"/>
      <c r="I38" s="489"/>
      <c r="J38" s="89"/>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476">
        <v>0.25</v>
      </c>
      <c r="B39" s="494" t="s">
        <v>21</v>
      </c>
      <c r="C39" s="495"/>
      <c r="D39" s="479"/>
      <c r="E39" s="487"/>
      <c r="F39" s="487"/>
      <c r="G39" s="488"/>
      <c r="H39" s="487"/>
      <c r="I39" s="489"/>
      <c r="J39" s="89"/>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476"/>
      <c r="B40" s="497" t="s">
        <v>468</v>
      </c>
      <c r="C40" s="495"/>
      <c r="D40" s="479"/>
      <c r="E40" s="487"/>
      <c r="F40" s="487"/>
      <c r="G40" s="488"/>
      <c r="H40" s="487"/>
      <c r="I40" s="489"/>
      <c r="J40" s="89"/>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476"/>
      <c r="B41" s="494"/>
      <c r="C41" s="495"/>
      <c r="D41" s="479"/>
      <c r="E41" s="487"/>
      <c r="F41" s="487"/>
      <c r="G41" s="488"/>
      <c r="H41" s="487"/>
      <c r="I41" s="489"/>
      <c r="J41" s="89"/>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476">
        <v>0.5</v>
      </c>
      <c r="B42" s="498" t="s">
        <v>52</v>
      </c>
      <c r="C42" s="495"/>
      <c r="D42" s="479"/>
      <c r="E42" s="487"/>
      <c r="F42" s="487"/>
      <c r="G42" s="488"/>
      <c r="H42" s="487"/>
      <c r="I42" s="489"/>
      <c r="J42" s="89"/>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477"/>
      <c r="B43" s="497" t="s">
        <v>469</v>
      </c>
      <c r="C43" s="499"/>
      <c r="D43" s="500"/>
      <c r="E43" s="501"/>
      <c r="F43" s="501"/>
      <c r="G43" s="488"/>
      <c r="H43" s="499"/>
      <c r="I43" s="502"/>
      <c r="J43" s="89"/>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thickBot="1" x14ac:dyDescent="0.3">
      <c r="A44" s="503"/>
      <c r="B44" s="504"/>
      <c r="C44" s="504"/>
      <c r="D44" s="504"/>
      <c r="E44" s="504"/>
      <c r="F44" s="504"/>
      <c r="G44" s="505"/>
      <c r="H44" s="504"/>
      <c r="I44" s="506"/>
      <c r="J44" s="89"/>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82"/>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82"/>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82"/>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82"/>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82"/>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82"/>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82"/>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82"/>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82"/>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82"/>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82"/>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82"/>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82"/>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82"/>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82"/>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82"/>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82"/>
      <c r="H61" s="82"/>
      <c r="I61" s="82"/>
      <c r="J61" s="82"/>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15.75"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67" firstPageNumber="0" orientation="portrait"/>
  <headerFooter alignWithMargins="0">
    <oddHeader>&amp;CSpring 2018 Exam 5 Make-Up</oddHeader>
  </headerFooter>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Z200"/>
  <sheetViews>
    <sheetView workbookViewId="0"/>
  </sheetViews>
  <sheetFormatPr defaultColWidth="0" defaultRowHeight="0" customHeight="1" zeroHeight="1" x14ac:dyDescent="0.25"/>
  <cols>
    <col min="1" max="2" width="18.125" style="37" customWidth="1"/>
    <col min="3" max="3" width="9.375" style="37" customWidth="1"/>
    <col min="4" max="4" width="22.625" style="37" customWidth="1"/>
    <col min="5" max="5" width="18.625" style="37" customWidth="1"/>
    <col min="6" max="6" width="10" style="37" bestFit="1" customWidth="1"/>
    <col min="7" max="49" width="9.375" style="37" customWidth="1"/>
    <col min="50" max="16384" width="9.375" style="37" hidden="1"/>
  </cols>
  <sheetData>
    <row r="1" spans="1:52" ht="15.75" customHeight="1" thickBot="1" x14ac:dyDescent="0.3">
      <c r="A1" s="1">
        <v>13</v>
      </c>
      <c r="B1" s="2"/>
      <c r="C1" s="33"/>
      <c r="D1" s="33"/>
      <c r="E1" s="34"/>
      <c r="F1" s="82"/>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40"/>
      <c r="F2" s="82"/>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1.5</v>
      </c>
      <c r="B3" s="39"/>
      <c r="C3" s="39"/>
      <c r="D3" s="39"/>
      <c r="E3" s="40"/>
      <c r="F3" s="82"/>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414</v>
      </c>
      <c r="C4" s="39"/>
      <c r="D4" s="39"/>
      <c r="E4" s="47"/>
      <c r="F4" s="89"/>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88"/>
      <c r="C5" s="39"/>
      <c r="D5" s="39"/>
      <c r="E5" s="47"/>
      <c r="F5" s="89"/>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x14ac:dyDescent="0.25">
      <c r="A6" s="42"/>
      <c r="B6" s="457">
        <v>1000</v>
      </c>
      <c r="C6" s="458" t="s">
        <v>480</v>
      </c>
      <c r="D6" s="511"/>
      <c r="E6" s="47"/>
      <c r="F6" s="89"/>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512">
        <v>7000</v>
      </c>
      <c r="C7" s="462" t="s">
        <v>481</v>
      </c>
      <c r="D7" s="40"/>
      <c r="E7" s="57"/>
      <c r="F7" s="89"/>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512">
        <v>2000</v>
      </c>
      <c r="C8" s="462" t="s">
        <v>482</v>
      </c>
      <c r="D8" s="40"/>
      <c r="E8" s="57"/>
      <c r="F8" s="89"/>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42"/>
      <c r="B9" s="512">
        <v>40</v>
      </c>
      <c r="C9" s="462" t="s">
        <v>483</v>
      </c>
      <c r="D9" s="40"/>
      <c r="E9" s="61"/>
      <c r="F9" s="89"/>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513">
        <v>1.5</v>
      </c>
      <c r="C10" s="462" t="s">
        <v>484</v>
      </c>
      <c r="D10" s="40"/>
      <c r="E10" s="61"/>
      <c r="F10" s="89"/>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461">
        <v>0.15</v>
      </c>
      <c r="C11" s="462" t="s">
        <v>485</v>
      </c>
      <c r="D11" s="40"/>
      <c r="E11" s="61"/>
      <c r="F11" s="89"/>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514">
        <v>0.05</v>
      </c>
      <c r="C12" s="467" t="s">
        <v>486</v>
      </c>
      <c r="D12" s="469"/>
      <c r="E12" s="61"/>
      <c r="F12" s="89"/>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67"/>
      <c r="C13" s="515"/>
      <c r="D13" s="516"/>
      <c r="E13" s="61"/>
      <c r="F13" s="89"/>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c r="B14" s="88" t="s">
        <v>487</v>
      </c>
      <c r="C14" s="515"/>
      <c r="D14" s="516"/>
      <c r="E14" s="61"/>
      <c r="F14" s="89"/>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88"/>
      <c r="C15" s="39"/>
      <c r="D15" s="516"/>
      <c r="E15" s="61"/>
      <c r="F15" s="89"/>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v>1</v>
      </c>
      <c r="B16" s="39" t="s">
        <v>46</v>
      </c>
      <c r="C16" s="39"/>
      <c r="D16" s="516"/>
      <c r="E16" s="40"/>
      <c r="F16" s="82"/>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133" t="s">
        <v>488</v>
      </c>
      <c r="C17" s="39"/>
      <c r="D17" s="516"/>
      <c r="E17" s="40"/>
      <c r="F17" s="82"/>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39"/>
      <c r="C18" s="39"/>
      <c r="D18" s="39"/>
      <c r="E18" s="40"/>
      <c r="F18" s="82"/>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10">
        <v>0.5</v>
      </c>
      <c r="B19" s="39" t="s">
        <v>21</v>
      </c>
      <c r="C19" s="39"/>
      <c r="D19" s="256"/>
      <c r="E19" s="40"/>
      <c r="F19" s="82"/>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c r="B20" s="517" t="s">
        <v>489</v>
      </c>
      <c r="C20" s="45"/>
      <c r="D20" s="72"/>
      <c r="E20" s="73"/>
      <c r="F20" s="8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517" t="s">
        <v>490</v>
      </c>
      <c r="C21" s="45"/>
      <c r="D21" s="72"/>
      <c r="E21" s="73"/>
      <c r="F21" s="8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thickBot="1" x14ac:dyDescent="0.3">
      <c r="A22" s="518"/>
      <c r="B22" s="519"/>
      <c r="C22" s="519"/>
      <c r="D22" s="519"/>
      <c r="E22" s="520"/>
      <c r="F22" s="82"/>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82"/>
      <c r="B23" s="82"/>
      <c r="C23" s="82"/>
      <c r="D23" s="82"/>
      <c r="E23" s="82"/>
      <c r="F23" s="82"/>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82"/>
      <c r="B24" s="402" t="s">
        <v>28</v>
      </c>
      <c r="C24" s="82"/>
      <c r="D24" s="82"/>
      <c r="E24" s="82"/>
      <c r="F24" s="82"/>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82"/>
      <c r="B25" s="82" t="s">
        <v>491</v>
      </c>
      <c r="C25" s="82"/>
      <c r="D25" s="82">
        <f>B6/(B9/B10)</f>
        <v>37.5</v>
      </c>
      <c r="E25" s="82"/>
      <c r="F25" s="82"/>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82"/>
      <c r="B26" s="82"/>
      <c r="C26" s="82"/>
      <c r="D26" s="82"/>
      <c r="E26" s="82"/>
      <c r="F26" s="82"/>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
      <c r="B27" s="82" t="s">
        <v>492</v>
      </c>
      <c r="C27" s="82"/>
      <c r="D27" s="521">
        <f>1-B11-B12</f>
        <v>0.79999999999999993</v>
      </c>
      <c r="E27" s="82"/>
      <c r="F27" s="82"/>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82"/>
      <c r="B28" s="82"/>
      <c r="C28" s="82"/>
      <c r="D28" s="82"/>
      <c r="E28" s="82"/>
      <c r="F28" s="82"/>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82"/>
      <c r="B29" s="82" t="s">
        <v>493</v>
      </c>
      <c r="C29" s="82"/>
      <c r="D29" s="82">
        <f>SUM(B7:B8)/B9</f>
        <v>225</v>
      </c>
      <c r="E29" s="82"/>
      <c r="F29" s="82"/>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t="s">
        <v>494</v>
      </c>
      <c r="C31" s="82"/>
      <c r="D31" s="82"/>
      <c r="E31" s="82"/>
      <c r="F31" s="82"/>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82"/>
      <c r="D32" s="189">
        <f>(4*D29+D25)/D27</f>
        <v>1171.875</v>
      </c>
      <c r="E32" s="82"/>
      <c r="F32" s="82"/>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c r="C33" s="82"/>
      <c r="D33" s="82"/>
      <c r="E33" s="82"/>
      <c r="F33" s="82"/>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402" t="s">
        <v>40</v>
      </c>
      <c r="C34" s="82"/>
      <c r="D34" s="82"/>
      <c r="E34" s="82"/>
      <c r="F34" s="82"/>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t="s">
        <v>495</v>
      </c>
      <c r="C36" s="82"/>
      <c r="D36" s="82"/>
      <c r="E36" s="82"/>
      <c r="F36" s="82"/>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t="s">
        <v>496</v>
      </c>
      <c r="C37" s="82"/>
      <c r="D37" s="82"/>
      <c r="E37" s="82"/>
      <c r="F37" s="82"/>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c r="D38" s="82"/>
      <c r="E38" s="82"/>
      <c r="F38" s="82"/>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firstPageNumber="0" orientation="portrait"/>
  <headerFooter alignWithMargins="0">
    <oddHeader>&amp;CSpring 2018 Exam 5 Make-Up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Z200"/>
  <sheetViews>
    <sheetView workbookViewId="0"/>
  </sheetViews>
  <sheetFormatPr defaultColWidth="0" defaultRowHeight="0" customHeight="1" zeroHeight="1" x14ac:dyDescent="0.25"/>
  <cols>
    <col min="1" max="2" width="18.125" style="37" customWidth="1"/>
    <col min="3" max="3" width="9.375" style="37" customWidth="1"/>
    <col min="4" max="4" width="23.125" style="37" customWidth="1"/>
    <col min="5" max="5" width="18.625" style="37" customWidth="1"/>
    <col min="6" max="6" width="10" style="37" bestFit="1" customWidth="1"/>
    <col min="7" max="49" width="9.375" style="37" customWidth="1"/>
    <col min="50" max="16384" width="9.375" style="37" hidden="1"/>
  </cols>
  <sheetData>
    <row r="1" spans="1:52" ht="15.75" customHeight="1" thickBot="1" x14ac:dyDescent="0.3">
      <c r="A1" s="1">
        <v>13</v>
      </c>
      <c r="B1" s="2"/>
      <c r="C1" s="33"/>
      <c r="D1" s="33"/>
      <c r="E1" s="34"/>
      <c r="F1" s="82"/>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40"/>
      <c r="F2" s="82"/>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1.5</v>
      </c>
      <c r="B3" s="39"/>
      <c r="C3" s="39"/>
      <c r="D3" s="39"/>
      <c r="E3" s="40"/>
      <c r="F3" s="82"/>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414</v>
      </c>
      <c r="C4" s="39"/>
      <c r="D4" s="39"/>
      <c r="E4" s="47"/>
      <c r="F4" s="89"/>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88"/>
      <c r="C5" s="39"/>
      <c r="D5" s="39"/>
      <c r="E5" s="47"/>
      <c r="F5" s="89"/>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x14ac:dyDescent="0.25">
      <c r="A6" s="42"/>
      <c r="B6" s="457">
        <v>1000</v>
      </c>
      <c r="C6" s="458" t="s">
        <v>480</v>
      </c>
      <c r="D6" s="511"/>
      <c r="E6" s="47"/>
      <c r="F6" s="89"/>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512">
        <v>7000</v>
      </c>
      <c r="C7" s="462" t="s">
        <v>481</v>
      </c>
      <c r="D7" s="40"/>
      <c r="E7" s="57"/>
      <c r="F7" s="89"/>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512">
        <v>2000</v>
      </c>
      <c r="C8" s="462" t="s">
        <v>482</v>
      </c>
      <c r="D8" s="40"/>
      <c r="E8" s="57"/>
      <c r="F8" s="89"/>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42"/>
      <c r="B9" s="512">
        <v>40</v>
      </c>
      <c r="C9" s="462" t="s">
        <v>483</v>
      </c>
      <c r="D9" s="40"/>
      <c r="E9" s="61"/>
      <c r="F9" s="89"/>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513">
        <v>1.5</v>
      </c>
      <c r="C10" s="462" t="s">
        <v>484</v>
      </c>
      <c r="D10" s="40"/>
      <c r="E10" s="61"/>
      <c r="F10" s="89"/>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461">
        <v>0.15</v>
      </c>
      <c r="C11" s="462" t="s">
        <v>485</v>
      </c>
      <c r="D11" s="40"/>
      <c r="E11" s="61"/>
      <c r="F11" s="89"/>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514">
        <v>0.05</v>
      </c>
      <c r="C12" s="467" t="s">
        <v>486</v>
      </c>
      <c r="D12" s="469"/>
      <c r="E12" s="61"/>
      <c r="F12" s="89"/>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67"/>
      <c r="C13" s="515"/>
      <c r="D13" s="516"/>
      <c r="E13" s="61"/>
      <c r="F13" s="89"/>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c r="B14" s="88" t="s">
        <v>487</v>
      </c>
      <c r="C14" s="515"/>
      <c r="D14" s="516"/>
      <c r="E14" s="61"/>
      <c r="F14" s="89"/>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88"/>
      <c r="C15" s="39"/>
      <c r="D15" s="516"/>
      <c r="E15" s="61"/>
      <c r="F15" s="89"/>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v>1</v>
      </c>
      <c r="B16" s="39" t="s">
        <v>46</v>
      </c>
      <c r="C16" s="39"/>
      <c r="D16" s="516"/>
      <c r="E16" s="40"/>
      <c r="F16" s="82"/>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133" t="s">
        <v>488</v>
      </c>
      <c r="C17" s="39"/>
      <c r="D17" s="516"/>
      <c r="E17" s="40"/>
      <c r="F17" s="82"/>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39"/>
      <c r="C18" s="39"/>
      <c r="D18" s="39"/>
      <c r="E18" s="40"/>
      <c r="F18" s="82"/>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10">
        <v>0.5</v>
      </c>
      <c r="B19" s="39" t="s">
        <v>21</v>
      </c>
      <c r="C19" s="39"/>
      <c r="D19" s="256"/>
      <c r="E19" s="40"/>
      <c r="F19" s="82"/>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c r="B20" s="517" t="s">
        <v>489</v>
      </c>
      <c r="C20" s="45"/>
      <c r="D20" s="72"/>
      <c r="E20" s="73"/>
      <c r="F20" s="8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517" t="s">
        <v>490</v>
      </c>
      <c r="C21" s="45"/>
      <c r="D21" s="72"/>
      <c r="E21" s="73"/>
      <c r="F21" s="8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thickBot="1" x14ac:dyDescent="0.3">
      <c r="A22" s="518"/>
      <c r="B22" s="519"/>
      <c r="C22" s="519"/>
      <c r="D22" s="519"/>
      <c r="E22" s="520"/>
      <c r="F22" s="82"/>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82"/>
      <c r="B23" s="82"/>
      <c r="C23" s="82"/>
      <c r="D23" s="82"/>
      <c r="E23" s="82"/>
      <c r="F23" s="82"/>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82" t="s">
        <v>19</v>
      </c>
      <c r="B24" s="82" t="s">
        <v>497</v>
      </c>
      <c r="C24" s="82">
        <f>B6/B9*B10</f>
        <v>37.5</v>
      </c>
      <c r="D24" s="82"/>
      <c r="E24" s="82"/>
      <c r="F24" s="82"/>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82"/>
      <c r="B25" s="82" t="s">
        <v>498</v>
      </c>
      <c r="C25" s="82">
        <f>SUM(B7:B8)/B9</f>
        <v>225</v>
      </c>
      <c r="D25" s="82"/>
      <c r="E25" s="82"/>
      <c r="F25" s="82"/>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82"/>
      <c r="B26" s="82" t="s">
        <v>499</v>
      </c>
      <c r="C26" s="189">
        <f>(C25*4+C24)/(1-B11-B12)</f>
        <v>1171.875</v>
      </c>
      <c r="D26" s="82"/>
      <c r="E26" s="82"/>
      <c r="F26" s="82"/>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
      <c r="B27" s="82"/>
      <c r="C27" s="82"/>
      <c r="D27" s="82"/>
      <c r="E27" s="82"/>
      <c r="F27" s="82"/>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82" t="s">
        <v>21</v>
      </c>
      <c r="B28" s="82" t="s">
        <v>500</v>
      </c>
      <c r="C28" s="82"/>
      <c r="D28" s="82"/>
      <c r="E28" s="82"/>
      <c r="F28" s="82"/>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82"/>
      <c r="B29" s="82"/>
      <c r="C29" s="82"/>
      <c r="D29" s="82"/>
      <c r="E29" s="82"/>
      <c r="F29" s="82"/>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c r="C31" s="82"/>
      <c r="D31" s="82"/>
      <c r="E31" s="82"/>
      <c r="F31" s="82"/>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82"/>
      <c r="D32" s="82"/>
      <c r="E32" s="82"/>
      <c r="F32" s="82"/>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c r="C33" s="82"/>
      <c r="D33" s="82"/>
      <c r="E33" s="82"/>
      <c r="F33" s="82"/>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c r="C34" s="82"/>
      <c r="D34" s="82"/>
      <c r="E34" s="82"/>
      <c r="F34" s="82"/>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c r="C36" s="82"/>
      <c r="D36" s="82"/>
      <c r="E36" s="82"/>
      <c r="F36" s="82"/>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c r="C37" s="82"/>
      <c r="D37" s="82"/>
      <c r="E37" s="82"/>
      <c r="F37" s="82"/>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c r="D38" s="82"/>
      <c r="E38" s="82"/>
      <c r="F38" s="82"/>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firstPageNumber="0" orientation="portrait"/>
  <headerFooter alignWithMargins="0">
    <oddHeader>&amp;CSpring 2018 Exam 5 Make-Up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Z200"/>
  <sheetViews>
    <sheetView zoomScale="86" zoomScaleNormal="86" zoomScalePageLayoutView="86" workbookViewId="0"/>
  </sheetViews>
  <sheetFormatPr defaultColWidth="0" defaultRowHeight="0" customHeight="1" zeroHeight="1" x14ac:dyDescent="0.25"/>
  <cols>
    <col min="1" max="1" width="18.125" style="37" customWidth="1"/>
    <col min="2" max="2" width="21.375" style="37" customWidth="1"/>
    <col min="3" max="3" width="16.125" style="37" bestFit="1" customWidth="1"/>
    <col min="4" max="4" width="12.25" style="37" bestFit="1" customWidth="1"/>
    <col min="5" max="5" width="20.125" style="37" bestFit="1" customWidth="1"/>
    <col min="6" max="6" width="12.625" style="37" customWidth="1"/>
    <col min="7" max="7" width="13.125" style="37" customWidth="1"/>
    <col min="8" max="8" width="10.625" style="37" customWidth="1"/>
    <col min="9" max="9" width="14.25" style="37" bestFit="1" customWidth="1"/>
    <col min="10" max="11" width="10.625" style="37" customWidth="1"/>
    <col min="12" max="12" width="15.625" style="37" customWidth="1"/>
    <col min="13" max="49" width="10.625" style="37" customWidth="1"/>
    <col min="50" max="16384" width="10.625" style="37" hidden="1"/>
  </cols>
  <sheetData>
    <row r="1" spans="1:52" ht="15.75" thickBot="1" x14ac:dyDescent="0.3">
      <c r="A1" s="1">
        <v>2</v>
      </c>
      <c r="B1" s="2"/>
      <c r="C1" s="33"/>
      <c r="D1" s="33"/>
      <c r="E1" s="33"/>
      <c r="F1" s="33"/>
      <c r="G1" s="33"/>
      <c r="H1" s="34"/>
      <c r="I1" s="3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40"/>
      <c r="I2" s="41"/>
      <c r="J2" s="36"/>
      <c r="K2" s="36" t="s">
        <v>27</v>
      </c>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1.75</v>
      </c>
      <c r="B3" s="39"/>
      <c r="C3" s="39"/>
      <c r="D3" s="39"/>
      <c r="E3" s="39"/>
      <c r="F3" s="39"/>
      <c r="G3" s="39"/>
      <c r="H3" s="40"/>
      <c r="I3" s="41"/>
      <c r="J3" s="43" t="s">
        <v>28</v>
      </c>
      <c r="K3" s="43"/>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44" t="s">
        <v>29</v>
      </c>
      <c r="C4" s="45"/>
      <c r="D4" s="45"/>
      <c r="E4" s="45"/>
      <c r="F4" s="39"/>
      <c r="G4" s="46"/>
      <c r="H4" s="47"/>
      <c r="I4" s="41"/>
      <c r="J4" s="43"/>
      <c r="K4" s="43" t="s">
        <v>30</v>
      </c>
      <c r="L4" s="36" t="s">
        <v>31</v>
      </c>
      <c r="M4" s="48">
        <f>F7+F8+(G8-0)</f>
        <v>4000</v>
      </c>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49"/>
      <c r="C5" s="45"/>
      <c r="D5" s="45"/>
      <c r="E5" s="45"/>
      <c r="F5" s="45"/>
      <c r="G5" s="46"/>
      <c r="H5" s="47"/>
      <c r="I5" s="41"/>
      <c r="J5" s="43"/>
      <c r="K5" s="43" t="s">
        <v>32</v>
      </c>
      <c r="L5" s="36" t="s">
        <v>33</v>
      </c>
      <c r="M5" s="48">
        <f>F9+F11+F10+(G9-G8)+(G11-0)</f>
        <v>6500</v>
      </c>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52.5" customHeight="1" thickBot="1" x14ac:dyDescent="0.3">
      <c r="A6" s="42"/>
      <c r="B6" s="50" t="s">
        <v>34</v>
      </c>
      <c r="C6" s="51" t="s">
        <v>35</v>
      </c>
      <c r="D6" s="51" t="s">
        <v>36</v>
      </c>
      <c r="E6" s="51" t="s">
        <v>3</v>
      </c>
      <c r="F6" s="52" t="s">
        <v>37</v>
      </c>
      <c r="G6" s="53" t="s">
        <v>38</v>
      </c>
      <c r="H6" s="47"/>
      <c r="I6" s="41"/>
      <c r="J6" s="36"/>
      <c r="K6" s="36" t="s">
        <v>39</v>
      </c>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1180" t="s">
        <v>6</v>
      </c>
      <c r="C7" s="1183">
        <v>42370</v>
      </c>
      <c r="D7" s="1183">
        <v>42554</v>
      </c>
      <c r="E7" s="54">
        <v>42556</v>
      </c>
      <c r="F7" s="55">
        <v>0</v>
      </c>
      <c r="G7" s="56">
        <v>2000</v>
      </c>
      <c r="H7" s="57"/>
      <c r="I7" s="41"/>
      <c r="J7" s="43" t="s">
        <v>40</v>
      </c>
      <c r="K7" s="43" t="s">
        <v>30</v>
      </c>
      <c r="L7" s="43" t="s">
        <v>41</v>
      </c>
      <c r="M7" s="48">
        <f>F7+F8+F9+G9</f>
        <v>4500</v>
      </c>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10"/>
      <c r="B8" s="1181"/>
      <c r="C8" s="1184"/>
      <c r="D8" s="1184"/>
      <c r="E8" s="58">
        <v>42628</v>
      </c>
      <c r="F8" s="59">
        <v>1000</v>
      </c>
      <c r="G8" s="60">
        <v>3000</v>
      </c>
      <c r="H8" s="61"/>
      <c r="I8" s="41"/>
      <c r="J8" s="36"/>
      <c r="K8" s="43" t="s">
        <v>32</v>
      </c>
      <c r="L8" s="43" t="s">
        <v>42</v>
      </c>
      <c r="M8" s="48">
        <f>F10+F11+G11</f>
        <v>6000</v>
      </c>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thickBot="1" x14ac:dyDescent="0.3">
      <c r="A9" s="42"/>
      <c r="B9" s="1182"/>
      <c r="C9" s="1185"/>
      <c r="D9" s="1185"/>
      <c r="E9" s="62">
        <v>42738</v>
      </c>
      <c r="F9" s="63">
        <v>3500</v>
      </c>
      <c r="G9" s="64">
        <v>0</v>
      </c>
      <c r="H9" s="40"/>
      <c r="I9" s="41"/>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1180" t="s">
        <v>8</v>
      </c>
      <c r="C10" s="1183">
        <v>42644</v>
      </c>
      <c r="D10" s="1183">
        <v>42856</v>
      </c>
      <c r="E10" s="54">
        <v>42856</v>
      </c>
      <c r="F10" s="55">
        <v>500</v>
      </c>
      <c r="G10" s="56">
        <v>5000</v>
      </c>
      <c r="H10" s="40"/>
      <c r="I10" s="41"/>
      <c r="J10" s="43" t="s">
        <v>43</v>
      </c>
      <c r="K10" s="48">
        <f>F7+F8+F9+F10+F11+G9+G11</f>
        <v>10500</v>
      </c>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1181"/>
      <c r="C11" s="1184"/>
      <c r="D11" s="1184"/>
      <c r="E11" s="58">
        <v>43041</v>
      </c>
      <c r="F11" s="59">
        <v>2500</v>
      </c>
      <c r="G11" s="60">
        <v>3000</v>
      </c>
      <c r="H11" s="40"/>
      <c r="I11" s="41"/>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1182"/>
      <c r="C12" s="1185"/>
      <c r="D12" s="1185"/>
      <c r="E12" s="62">
        <v>43102</v>
      </c>
      <c r="F12" s="63">
        <v>5000</v>
      </c>
      <c r="G12" s="64">
        <v>0</v>
      </c>
      <c r="H12" s="40"/>
      <c r="I12" s="41"/>
      <c r="J12" s="43" t="s">
        <v>44</v>
      </c>
      <c r="K12" s="36" t="s">
        <v>45</v>
      </c>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49"/>
      <c r="C13" s="45"/>
      <c r="D13" s="45"/>
      <c r="E13" s="45"/>
      <c r="F13" s="39"/>
      <c r="G13" s="46"/>
      <c r="H13" s="40"/>
      <c r="I13" s="41"/>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v>0.5</v>
      </c>
      <c r="B14" s="45" t="s">
        <v>46</v>
      </c>
      <c r="C14" s="45"/>
      <c r="D14" s="45"/>
      <c r="E14" s="45"/>
      <c r="F14" s="39"/>
      <c r="G14" s="46"/>
      <c r="H14" s="40"/>
      <c r="I14" s="41"/>
      <c r="J14" s="36"/>
      <c r="K14" s="36" t="s">
        <v>47</v>
      </c>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44" t="s">
        <v>48</v>
      </c>
      <c r="C15" s="45"/>
      <c r="D15" s="45"/>
      <c r="E15" s="45"/>
      <c r="F15" s="39"/>
      <c r="G15" s="46"/>
      <c r="H15" s="40"/>
      <c r="I15" s="41"/>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65" t="s">
        <v>49</v>
      </c>
      <c r="C16" s="66"/>
      <c r="D16" s="45"/>
      <c r="E16" s="45"/>
      <c r="F16" s="39"/>
      <c r="G16" s="46"/>
      <c r="H16" s="40"/>
      <c r="I16" s="41"/>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65" t="s">
        <v>50</v>
      </c>
      <c r="C17" s="66"/>
      <c r="D17" s="45"/>
      <c r="E17" s="45"/>
      <c r="F17" s="39"/>
      <c r="G17" s="46"/>
      <c r="H17" s="40"/>
      <c r="I17" s="41"/>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67"/>
      <c r="C18" s="66"/>
      <c r="D18" s="45"/>
      <c r="E18" s="45"/>
      <c r="F18" s="39"/>
      <c r="G18" s="46"/>
      <c r="H18" s="40"/>
      <c r="I18" s="41"/>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2">
        <v>0.5</v>
      </c>
      <c r="B19" s="45" t="s">
        <v>21</v>
      </c>
      <c r="C19" s="66"/>
      <c r="D19" s="45"/>
      <c r="E19" s="45"/>
      <c r="F19" s="39"/>
      <c r="G19" s="39"/>
      <c r="H19" s="40"/>
      <c r="I19" s="41"/>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c r="B20" s="44" t="s">
        <v>51</v>
      </c>
      <c r="C20" s="66"/>
      <c r="D20" s="45"/>
      <c r="E20" s="45"/>
      <c r="F20" s="39"/>
      <c r="G20" s="39"/>
      <c r="H20" s="40"/>
      <c r="I20" s="41"/>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65" t="s">
        <v>49</v>
      </c>
      <c r="C21" s="66"/>
      <c r="D21" s="45"/>
      <c r="E21" s="45"/>
      <c r="F21" s="39"/>
      <c r="G21" s="39"/>
      <c r="H21" s="40"/>
      <c r="I21" s="41"/>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c r="B22" s="65" t="s">
        <v>50</v>
      </c>
      <c r="C22" s="66"/>
      <c r="D22" s="45"/>
      <c r="E22" s="45"/>
      <c r="F22" s="39"/>
      <c r="G22" s="39"/>
      <c r="H22" s="40"/>
      <c r="I22" s="41"/>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c r="B23" s="44"/>
      <c r="C23" s="66"/>
      <c r="D23" s="45"/>
      <c r="E23" s="45"/>
      <c r="F23" s="39"/>
      <c r="G23" s="39"/>
      <c r="H23" s="40"/>
      <c r="I23" s="41"/>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v>0.25</v>
      </c>
      <c r="B24" s="45" t="s">
        <v>52</v>
      </c>
      <c r="C24" s="66"/>
      <c r="D24" s="45"/>
      <c r="E24" s="45"/>
      <c r="F24" s="39"/>
      <c r="G24" s="39"/>
      <c r="H24" s="40"/>
      <c r="I24" s="41"/>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2"/>
      <c r="B25" s="44" t="s">
        <v>53</v>
      </c>
      <c r="C25" s="66"/>
      <c r="D25" s="45"/>
      <c r="E25" s="45"/>
      <c r="F25" s="39"/>
      <c r="G25" s="39"/>
      <c r="H25" s="40"/>
      <c r="I25" s="41"/>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42"/>
      <c r="B26" s="45"/>
      <c r="C26" s="45"/>
      <c r="D26" s="45"/>
      <c r="E26" s="45"/>
      <c r="F26" s="39"/>
      <c r="G26" s="39"/>
      <c r="H26" s="40"/>
      <c r="I26" s="41"/>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42">
        <v>0.5</v>
      </c>
      <c r="B27" s="45" t="s">
        <v>54</v>
      </c>
      <c r="C27" s="45"/>
      <c r="D27" s="68"/>
      <c r="E27" s="69"/>
      <c r="F27" s="70"/>
      <c r="G27" s="71"/>
      <c r="H27" s="40"/>
      <c r="I27" s="41"/>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10"/>
      <c r="B28" s="44" t="s">
        <v>55</v>
      </c>
      <c r="C28" s="45"/>
      <c r="D28" s="72"/>
      <c r="E28" s="72"/>
      <c r="F28" s="72"/>
      <c r="G28" s="72"/>
      <c r="H28" s="73"/>
      <c r="I28" s="74"/>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thickBot="1" x14ac:dyDescent="0.3">
      <c r="A29" s="75"/>
      <c r="B29" s="76"/>
      <c r="C29" s="76"/>
      <c r="D29" s="76"/>
      <c r="E29" s="76"/>
      <c r="F29" s="76"/>
      <c r="G29" s="76"/>
      <c r="H29" s="77"/>
      <c r="I29" s="78"/>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79"/>
      <c r="B30" s="79"/>
      <c r="C30" s="79"/>
      <c r="D30" s="79"/>
      <c r="E30" s="79"/>
      <c r="F30" s="79"/>
      <c r="G30" s="79"/>
      <c r="H30" s="79"/>
      <c r="I30" s="79"/>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79"/>
      <c r="B31" s="79"/>
      <c r="C31" s="79"/>
      <c r="D31" s="79"/>
      <c r="E31" s="79"/>
      <c r="F31" s="79"/>
      <c r="G31" s="79"/>
      <c r="H31" s="79"/>
      <c r="I31" s="79"/>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79"/>
      <c r="B32" s="79"/>
      <c r="C32" s="79"/>
      <c r="D32" s="79"/>
      <c r="E32" s="79"/>
      <c r="F32" s="79"/>
      <c r="G32" s="79"/>
      <c r="H32" s="79"/>
      <c r="I32" s="79"/>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79"/>
      <c r="B33" s="79"/>
      <c r="C33" s="79"/>
      <c r="D33" s="79"/>
      <c r="E33" s="79"/>
      <c r="F33" s="79"/>
      <c r="G33" s="79"/>
      <c r="H33" s="79"/>
      <c r="I33" s="79"/>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79"/>
      <c r="B34" s="79"/>
      <c r="C34" s="79"/>
      <c r="D34" s="79"/>
      <c r="E34" s="79"/>
      <c r="F34" s="79"/>
      <c r="G34" s="79"/>
      <c r="H34" s="79"/>
      <c r="I34" s="79"/>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79"/>
      <c r="B35" s="79"/>
      <c r="C35" s="79"/>
      <c r="D35" s="79"/>
      <c r="E35" s="79"/>
      <c r="F35" s="79"/>
      <c r="G35" s="79"/>
      <c r="H35" s="79"/>
      <c r="I35" s="79"/>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79"/>
      <c r="B36" s="79"/>
      <c r="C36" s="79"/>
      <c r="D36" s="79"/>
      <c r="E36" s="79"/>
      <c r="F36" s="79"/>
      <c r="G36" s="79"/>
      <c r="H36" s="79"/>
      <c r="I36" s="79"/>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79"/>
      <c r="B37" s="79"/>
      <c r="C37" s="79"/>
      <c r="D37" s="79"/>
      <c r="E37" s="79"/>
      <c r="F37" s="79"/>
      <c r="G37" s="79"/>
      <c r="H37" s="79"/>
      <c r="I37" s="79"/>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79"/>
      <c r="B38" s="79"/>
      <c r="C38" s="79"/>
      <c r="D38" s="79"/>
      <c r="E38" s="79"/>
      <c r="F38" s="79"/>
      <c r="G38" s="79"/>
      <c r="H38" s="79"/>
      <c r="I38" s="79"/>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79"/>
      <c r="B39" s="79"/>
      <c r="C39" s="79"/>
      <c r="D39" s="79"/>
      <c r="E39" s="79"/>
      <c r="F39" s="79"/>
      <c r="G39" s="79"/>
      <c r="H39" s="79"/>
      <c r="I39" s="79"/>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79"/>
      <c r="B40" s="79"/>
      <c r="C40" s="79"/>
      <c r="D40" s="79"/>
      <c r="E40" s="79"/>
      <c r="F40" s="79"/>
      <c r="G40" s="79"/>
      <c r="H40" s="79"/>
      <c r="I40" s="79"/>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79"/>
      <c r="B41" s="79"/>
      <c r="C41" s="79"/>
      <c r="D41" s="79"/>
      <c r="E41" s="79"/>
      <c r="F41" s="79"/>
      <c r="G41" s="79"/>
      <c r="H41" s="79"/>
      <c r="I41" s="79"/>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79"/>
      <c r="B42" s="79"/>
      <c r="C42" s="79"/>
      <c r="D42" s="79"/>
      <c r="E42" s="79"/>
      <c r="F42" s="79"/>
      <c r="G42" s="79"/>
      <c r="H42" s="79"/>
      <c r="I42" s="79"/>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79"/>
      <c r="B43" s="79"/>
      <c r="C43" s="79"/>
      <c r="D43" s="79"/>
      <c r="E43" s="79"/>
      <c r="F43" s="79"/>
      <c r="G43" s="79"/>
      <c r="H43" s="79"/>
      <c r="I43" s="79"/>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79"/>
      <c r="B44" s="79"/>
      <c r="C44" s="79"/>
      <c r="D44" s="79"/>
      <c r="E44" s="79"/>
      <c r="F44" s="79"/>
      <c r="G44" s="79"/>
      <c r="H44" s="79"/>
      <c r="I44" s="79"/>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79"/>
      <c r="B45" s="79"/>
      <c r="C45" s="79"/>
      <c r="D45" s="79"/>
      <c r="E45" s="79"/>
      <c r="F45" s="79"/>
      <c r="G45" s="79"/>
      <c r="H45" s="79"/>
      <c r="I45" s="79"/>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79"/>
      <c r="B46" s="79"/>
      <c r="C46" s="79"/>
      <c r="D46" s="79"/>
      <c r="E46" s="79"/>
      <c r="F46" s="79"/>
      <c r="G46" s="79"/>
      <c r="H46" s="79"/>
      <c r="I46" s="79"/>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79"/>
      <c r="B47" s="79"/>
      <c r="C47" s="79"/>
      <c r="D47" s="79"/>
      <c r="E47" s="79"/>
      <c r="F47" s="79"/>
      <c r="G47" s="79"/>
      <c r="H47" s="79"/>
      <c r="I47" s="79"/>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79"/>
      <c r="B48" s="79"/>
      <c r="C48" s="79"/>
      <c r="D48" s="79"/>
      <c r="E48" s="79"/>
      <c r="F48" s="79"/>
      <c r="G48" s="79"/>
      <c r="H48" s="79"/>
      <c r="I48" s="79"/>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79"/>
      <c r="B49" s="79"/>
      <c r="C49" s="79"/>
      <c r="D49" s="79"/>
      <c r="E49" s="79"/>
      <c r="F49" s="79"/>
      <c r="G49" s="79"/>
      <c r="H49" s="79"/>
      <c r="I49" s="79"/>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79"/>
      <c r="B50" s="79"/>
      <c r="C50" s="79"/>
      <c r="D50" s="79"/>
      <c r="E50" s="79"/>
      <c r="F50" s="79"/>
      <c r="G50" s="79"/>
      <c r="H50" s="79"/>
      <c r="I50" s="79"/>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79"/>
      <c r="B51" s="79"/>
      <c r="C51" s="79"/>
      <c r="D51" s="79"/>
      <c r="E51" s="79"/>
      <c r="F51" s="79"/>
      <c r="G51" s="79"/>
      <c r="H51" s="79"/>
      <c r="I51" s="79"/>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79"/>
      <c r="B52" s="79"/>
      <c r="C52" s="79"/>
      <c r="D52" s="79"/>
      <c r="E52" s="79"/>
      <c r="F52" s="79"/>
      <c r="G52" s="79"/>
      <c r="H52" s="79"/>
      <c r="I52" s="79"/>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79"/>
      <c r="B53" s="79"/>
      <c r="C53" s="79"/>
      <c r="D53" s="79"/>
      <c r="E53" s="79"/>
      <c r="F53" s="79"/>
      <c r="G53" s="79"/>
      <c r="H53" s="79"/>
      <c r="I53" s="79"/>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79"/>
      <c r="B54" s="79"/>
      <c r="C54" s="79"/>
      <c r="D54" s="79"/>
      <c r="E54" s="79"/>
      <c r="F54" s="79"/>
      <c r="G54" s="79"/>
      <c r="H54" s="79"/>
      <c r="I54" s="79"/>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79"/>
      <c r="B55" s="79"/>
      <c r="C55" s="79"/>
      <c r="D55" s="79"/>
      <c r="E55" s="79"/>
      <c r="F55" s="79"/>
      <c r="G55" s="79"/>
      <c r="H55" s="79"/>
      <c r="I55" s="79"/>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79"/>
      <c r="B56" s="79"/>
      <c r="C56" s="79"/>
      <c r="D56" s="79"/>
      <c r="E56" s="79"/>
      <c r="F56" s="79"/>
      <c r="G56" s="79"/>
      <c r="H56" s="79"/>
      <c r="I56" s="79"/>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79"/>
      <c r="B57" s="79"/>
      <c r="C57" s="79"/>
      <c r="D57" s="79"/>
      <c r="E57" s="79"/>
      <c r="F57" s="79"/>
      <c r="G57" s="79"/>
      <c r="H57" s="79"/>
      <c r="I57" s="79"/>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79"/>
      <c r="B58" s="79"/>
      <c r="C58" s="79"/>
      <c r="D58" s="79"/>
      <c r="E58" s="79"/>
      <c r="F58" s="79"/>
      <c r="G58" s="79"/>
      <c r="H58" s="79"/>
      <c r="I58" s="79"/>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79"/>
      <c r="B59" s="79"/>
      <c r="C59" s="79"/>
      <c r="D59" s="79"/>
      <c r="E59" s="79"/>
      <c r="F59" s="79"/>
      <c r="G59" s="79"/>
      <c r="H59" s="79"/>
      <c r="I59" s="79"/>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79"/>
      <c r="B60" s="79"/>
      <c r="C60" s="79"/>
      <c r="D60" s="79"/>
      <c r="E60" s="79"/>
      <c r="F60" s="79"/>
      <c r="G60" s="79"/>
      <c r="H60" s="79"/>
      <c r="I60" s="79"/>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0"/>
      <c r="B61" s="80"/>
      <c r="C61" s="80"/>
      <c r="D61" s="80"/>
      <c r="E61" s="80"/>
      <c r="F61" s="80"/>
      <c r="G61" s="80"/>
      <c r="H61" s="80"/>
      <c r="I61" s="80"/>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80"/>
      <c r="B62" s="80"/>
      <c r="C62" s="80"/>
      <c r="D62" s="80"/>
      <c r="E62" s="80"/>
      <c r="F62" s="80"/>
      <c r="G62" s="80"/>
      <c r="H62" s="80"/>
      <c r="I62" s="80"/>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80"/>
      <c r="B63" s="80"/>
      <c r="C63" s="80"/>
      <c r="D63" s="80"/>
      <c r="E63" s="80"/>
      <c r="F63" s="80"/>
      <c r="G63" s="80"/>
      <c r="H63" s="80"/>
      <c r="I63" s="80"/>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80"/>
      <c r="B64" s="80"/>
      <c r="C64" s="80"/>
      <c r="D64" s="80"/>
      <c r="E64" s="80"/>
      <c r="F64" s="80"/>
      <c r="G64" s="80"/>
      <c r="H64" s="80"/>
      <c r="I64" s="80"/>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80"/>
      <c r="B65" s="80"/>
      <c r="C65" s="80"/>
      <c r="D65" s="80"/>
      <c r="E65" s="80"/>
      <c r="F65" s="80"/>
      <c r="G65" s="80"/>
      <c r="H65" s="80"/>
      <c r="I65" s="80"/>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80"/>
      <c r="B66" s="80"/>
      <c r="C66" s="80"/>
      <c r="D66" s="80"/>
      <c r="E66" s="80"/>
      <c r="F66" s="80"/>
      <c r="G66" s="80"/>
      <c r="H66" s="80"/>
      <c r="I66" s="80"/>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80"/>
      <c r="B67" s="80"/>
      <c r="C67" s="80"/>
      <c r="D67" s="80"/>
      <c r="E67" s="80"/>
      <c r="F67" s="80"/>
      <c r="G67" s="80"/>
      <c r="H67" s="80"/>
      <c r="I67" s="80"/>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80"/>
      <c r="B68" s="80"/>
      <c r="C68" s="80"/>
      <c r="D68" s="80"/>
      <c r="E68" s="80"/>
      <c r="F68" s="80"/>
      <c r="G68" s="80"/>
      <c r="H68" s="80"/>
      <c r="I68" s="80"/>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mergeCells count="6">
    <mergeCell ref="B7:B9"/>
    <mergeCell ref="C7:C9"/>
    <mergeCell ref="D7:D9"/>
    <mergeCell ref="B10:B12"/>
    <mergeCell ref="C10:C12"/>
    <mergeCell ref="D10:D12"/>
  </mergeCells>
  <pageMargins left="0.75" right="0.75" top="1" bottom="1" header="0.5" footer="0.5"/>
  <pageSetup scale="74" firstPageNumber="0" orientation="portrait"/>
  <headerFooter alignWithMargins="0">
    <oddHeader>&amp;CSpring 2018 Exam 5 Make-Up</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Z200"/>
  <sheetViews>
    <sheetView workbookViewId="0"/>
  </sheetViews>
  <sheetFormatPr defaultColWidth="0" defaultRowHeight="0" customHeight="1" zeroHeight="1" x14ac:dyDescent="0.25"/>
  <cols>
    <col min="1" max="1" width="10.875" style="37" bestFit="1" customWidth="1"/>
    <col min="2" max="7" width="9.625" style="37" customWidth="1"/>
    <col min="8" max="9" width="9.375" style="37" customWidth="1"/>
    <col min="10" max="10" width="15.5" style="37" customWidth="1"/>
    <col min="11" max="49" width="9.375" style="37" customWidth="1"/>
    <col min="50" max="16384" width="9.375" style="37" hidden="1"/>
  </cols>
  <sheetData>
    <row r="1" spans="1:52" ht="15.75" customHeight="1" thickBot="1" x14ac:dyDescent="0.3">
      <c r="A1" s="1">
        <v>14</v>
      </c>
      <c r="B1" s="2"/>
      <c r="C1" s="33"/>
      <c r="D1" s="33"/>
      <c r="E1" s="33"/>
      <c r="F1" s="33"/>
      <c r="G1" s="33"/>
      <c r="H1" s="33"/>
      <c r="I1" s="33"/>
      <c r="J1" s="34"/>
      <c r="K1" s="82"/>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39"/>
      <c r="I2" s="39"/>
      <c r="J2" s="40"/>
      <c r="K2" s="82"/>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v>
      </c>
      <c r="B3" s="39"/>
      <c r="C3" s="39"/>
      <c r="D3" s="39"/>
      <c r="E3" s="39"/>
      <c r="F3" s="39"/>
      <c r="G3" s="39"/>
      <c r="H3" s="39"/>
      <c r="I3" s="39"/>
      <c r="J3" s="40"/>
      <c r="K3" s="82"/>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39" t="s">
        <v>501</v>
      </c>
      <c r="C4" s="39"/>
      <c r="D4" s="39"/>
      <c r="E4" s="39"/>
      <c r="F4" s="39"/>
      <c r="G4" s="39"/>
      <c r="H4" s="39"/>
      <c r="I4" s="39"/>
      <c r="J4" s="40"/>
      <c r="K4" s="82"/>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x14ac:dyDescent="0.25">
      <c r="A5" s="42"/>
      <c r="B5" s="39"/>
      <c r="C5" s="39"/>
      <c r="D5" s="39"/>
      <c r="E5" s="39"/>
      <c r="F5" s="39"/>
      <c r="G5" s="39"/>
      <c r="H5" s="39"/>
      <c r="I5" s="39"/>
      <c r="J5" s="40"/>
      <c r="K5" s="82"/>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x14ac:dyDescent="0.25">
      <c r="A6" s="42"/>
      <c r="B6" s="39" t="s">
        <v>502</v>
      </c>
      <c r="C6" s="39"/>
      <c r="D6" s="39"/>
      <c r="E6" s="39"/>
      <c r="F6" s="39"/>
      <c r="G6" s="39"/>
      <c r="H6" s="39"/>
      <c r="I6" s="39"/>
      <c r="J6" s="40"/>
      <c r="K6" s="82"/>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39" t="s">
        <v>503</v>
      </c>
      <c r="C7" s="39"/>
      <c r="D7" s="39"/>
      <c r="E7" s="39"/>
      <c r="F7" s="39"/>
      <c r="G7" s="39"/>
      <c r="H7" s="39"/>
      <c r="I7" s="39"/>
      <c r="J7" s="40"/>
      <c r="K7" s="82"/>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39" t="s">
        <v>504</v>
      </c>
      <c r="C8" s="39"/>
      <c r="D8" s="39"/>
      <c r="E8" s="39"/>
      <c r="F8" s="39"/>
      <c r="G8" s="39"/>
      <c r="H8" s="39"/>
      <c r="I8" s="39"/>
      <c r="J8" s="40"/>
      <c r="K8" s="82"/>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42"/>
      <c r="B9" s="39"/>
      <c r="C9" s="39"/>
      <c r="D9" s="39"/>
      <c r="E9" s="39"/>
      <c r="F9" s="39"/>
      <c r="G9" s="39"/>
      <c r="H9" s="39"/>
      <c r="I9" s="39"/>
      <c r="J9" s="40"/>
      <c r="K9" s="82"/>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39" t="s">
        <v>505</v>
      </c>
      <c r="C10" s="39"/>
      <c r="D10" s="39"/>
      <c r="E10" s="39"/>
      <c r="F10" s="39"/>
      <c r="G10" s="39"/>
      <c r="H10" s="39"/>
      <c r="I10" s="39"/>
      <c r="J10" s="40"/>
      <c r="K10" s="82"/>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88" t="s">
        <v>506</v>
      </c>
      <c r="C11" s="39"/>
      <c r="D11" s="39"/>
      <c r="E11" s="39"/>
      <c r="F11" s="39"/>
      <c r="G11" s="39"/>
      <c r="H11" s="39"/>
      <c r="I11" s="39"/>
      <c r="J11" s="40"/>
      <c r="K11" s="82"/>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x14ac:dyDescent="0.25">
      <c r="A12" s="42"/>
      <c r="B12" s="88" t="s">
        <v>507</v>
      </c>
      <c r="C12" s="39"/>
      <c r="D12" s="39"/>
      <c r="E12" s="39"/>
      <c r="F12" s="39"/>
      <c r="G12" s="39"/>
      <c r="H12" s="39"/>
      <c r="I12" s="39"/>
      <c r="J12" s="40"/>
      <c r="K12" s="82"/>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39"/>
      <c r="C13" s="39"/>
      <c r="D13" s="39"/>
      <c r="E13" s="39"/>
      <c r="F13" s="39"/>
      <c r="G13" s="39"/>
      <c r="H13" s="39"/>
      <c r="I13" s="39"/>
      <c r="J13" s="40"/>
      <c r="K13" s="82"/>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v>0.5</v>
      </c>
      <c r="B14" s="39" t="s">
        <v>46</v>
      </c>
      <c r="C14" s="39"/>
      <c r="D14" s="39"/>
      <c r="E14" s="39"/>
      <c r="F14" s="39"/>
      <c r="G14" s="46"/>
      <c r="H14" s="46"/>
      <c r="I14" s="46"/>
      <c r="J14" s="40"/>
      <c r="K14" s="82"/>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133" t="s">
        <v>508</v>
      </c>
      <c r="C15" s="39"/>
      <c r="D15" s="39"/>
      <c r="E15" s="39"/>
      <c r="F15" s="39"/>
      <c r="G15" s="46"/>
      <c r="H15" s="46"/>
      <c r="I15" s="46"/>
      <c r="J15" s="40"/>
      <c r="K15" s="82"/>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133"/>
      <c r="C16" s="39"/>
      <c r="D16" s="39"/>
      <c r="E16" s="39"/>
      <c r="F16" s="39"/>
      <c r="G16" s="46"/>
      <c r="H16" s="46"/>
      <c r="I16" s="46"/>
      <c r="J16" s="40"/>
      <c r="K16" s="82"/>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v>0.5</v>
      </c>
      <c r="B17" s="39" t="s">
        <v>21</v>
      </c>
      <c r="C17" s="39"/>
      <c r="D17" s="256"/>
      <c r="E17" s="70"/>
      <c r="F17" s="70"/>
      <c r="G17" s="71"/>
      <c r="H17" s="71"/>
      <c r="I17" s="71"/>
      <c r="J17" s="40"/>
      <c r="K17" s="82"/>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133" t="s">
        <v>509</v>
      </c>
      <c r="C18" s="39"/>
      <c r="D18" s="522"/>
      <c r="E18" s="522"/>
      <c r="F18" s="522"/>
      <c r="G18" s="522"/>
      <c r="H18" s="522"/>
      <c r="I18" s="522"/>
      <c r="J18" s="40"/>
      <c r="K18" s="82"/>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thickBot="1" x14ac:dyDescent="0.3">
      <c r="A19" s="75"/>
      <c r="B19" s="76"/>
      <c r="C19" s="257"/>
      <c r="D19" s="258"/>
      <c r="E19" s="258"/>
      <c r="F19" s="258"/>
      <c r="G19" s="258"/>
      <c r="H19" s="258"/>
      <c r="I19" s="258"/>
      <c r="J19" s="259"/>
      <c r="K19" s="82"/>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82"/>
      <c r="B20" s="82"/>
      <c r="C20" s="82"/>
      <c r="D20" s="82"/>
      <c r="E20" s="82"/>
      <c r="F20" s="82"/>
      <c r="G20" s="82"/>
      <c r="H20" s="82"/>
      <c r="I20" s="82"/>
      <c r="J20" s="82"/>
      <c r="K20" s="8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82"/>
      <c r="B21" s="82" t="s">
        <v>19</v>
      </c>
      <c r="C21" s="82" t="s">
        <v>510</v>
      </c>
      <c r="D21" s="82"/>
      <c r="E21" s="82"/>
      <c r="F21" s="82"/>
      <c r="G21" s="82"/>
      <c r="H21" s="82"/>
      <c r="I21" s="82"/>
      <c r="J21" s="82"/>
      <c r="K21" s="82"/>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82"/>
      <c r="B22" s="82"/>
      <c r="C22" s="82" t="s">
        <v>511</v>
      </c>
      <c r="D22" s="82"/>
      <c r="E22" s="82"/>
      <c r="F22" s="82"/>
      <c r="G22" s="82"/>
      <c r="H22" s="82"/>
      <c r="I22" s="82"/>
      <c r="J22" s="82"/>
      <c r="K22" s="82"/>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82"/>
      <c r="B23" s="82"/>
      <c r="C23" s="82"/>
      <c r="D23" s="82"/>
      <c r="E23" s="82"/>
      <c r="F23" s="82"/>
      <c r="G23" s="82"/>
      <c r="H23" s="82"/>
      <c r="I23" s="82"/>
      <c r="J23" s="82"/>
      <c r="K23" s="82"/>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82"/>
      <c r="B24" s="82" t="s">
        <v>21</v>
      </c>
      <c r="C24" s="82" t="s">
        <v>512</v>
      </c>
      <c r="D24" s="82"/>
      <c r="E24" s="82"/>
      <c r="F24" s="82"/>
      <c r="G24" s="82"/>
      <c r="H24" s="82"/>
      <c r="I24" s="82"/>
      <c r="J24" s="82"/>
      <c r="K24" s="82"/>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82"/>
      <c r="B25" s="82"/>
      <c r="C25" s="82" t="s">
        <v>513</v>
      </c>
      <c r="D25" s="82"/>
      <c r="E25" s="82"/>
      <c r="F25" s="82"/>
      <c r="G25" s="82"/>
      <c r="H25" s="82"/>
      <c r="I25" s="82"/>
      <c r="J25" s="82"/>
      <c r="K25" s="82"/>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523"/>
      <c r="B26" s="82"/>
      <c r="C26" s="82"/>
      <c r="D26" s="82"/>
      <c r="E26" s="82"/>
      <c r="F26" s="82"/>
      <c r="G26" s="82"/>
      <c r="H26" s="82"/>
      <c r="I26" s="82"/>
      <c r="J26" s="82"/>
      <c r="K26" s="82"/>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523"/>
      <c r="B27" s="82"/>
      <c r="C27" s="82"/>
      <c r="D27" s="82"/>
      <c r="E27" s="82"/>
      <c r="F27" s="82"/>
      <c r="G27" s="82"/>
      <c r="H27" s="82"/>
      <c r="I27" s="82"/>
      <c r="J27" s="82"/>
      <c r="K27" s="82"/>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523"/>
      <c r="B28" s="82"/>
      <c r="C28" s="82"/>
      <c r="D28" s="82"/>
      <c r="E28" s="82"/>
      <c r="F28" s="82"/>
      <c r="G28" s="82"/>
      <c r="H28" s="82"/>
      <c r="I28" s="82"/>
      <c r="J28" s="82"/>
      <c r="K28" s="82"/>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523"/>
      <c r="B29" s="82"/>
      <c r="C29" s="82"/>
      <c r="D29" s="82"/>
      <c r="E29" s="82"/>
      <c r="F29" s="82"/>
      <c r="G29" s="82"/>
      <c r="H29" s="82"/>
      <c r="I29" s="82"/>
      <c r="J29" s="82"/>
      <c r="K29" s="82"/>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523"/>
      <c r="B30" s="82"/>
      <c r="C30" s="82"/>
      <c r="D30" s="82"/>
      <c r="E30" s="82"/>
      <c r="F30" s="82"/>
      <c r="G30" s="82"/>
      <c r="H30" s="82"/>
      <c r="I30" s="82"/>
      <c r="J30" s="82"/>
      <c r="K30" s="82"/>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523"/>
      <c r="B31" s="82"/>
      <c r="C31" s="82"/>
      <c r="D31" s="82"/>
      <c r="E31" s="82"/>
      <c r="F31" s="82"/>
      <c r="G31" s="82"/>
      <c r="H31" s="82"/>
      <c r="I31" s="82"/>
      <c r="J31" s="82"/>
      <c r="K31" s="82"/>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523"/>
      <c r="B32" s="82"/>
      <c r="C32" s="82"/>
      <c r="D32" s="82"/>
      <c r="E32" s="82"/>
      <c r="F32" s="82"/>
      <c r="G32" s="82"/>
      <c r="H32" s="82"/>
      <c r="I32" s="82"/>
      <c r="J32" s="82"/>
      <c r="K32" s="82"/>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523"/>
      <c r="B33" s="82"/>
      <c r="C33" s="82"/>
      <c r="D33" s="82"/>
      <c r="E33" s="82"/>
      <c r="F33" s="82"/>
      <c r="G33" s="82"/>
      <c r="H33" s="82"/>
      <c r="I33" s="82"/>
      <c r="J33" s="82"/>
      <c r="K33" s="82"/>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523"/>
      <c r="B34" s="82"/>
      <c r="C34" s="82"/>
      <c r="D34" s="82"/>
      <c r="E34" s="82"/>
      <c r="F34" s="82"/>
      <c r="G34" s="82"/>
      <c r="H34" s="82"/>
      <c r="I34" s="82"/>
      <c r="J34" s="82"/>
      <c r="K34" s="82"/>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523"/>
      <c r="B35" s="82"/>
      <c r="C35" s="82"/>
      <c r="D35" s="82"/>
      <c r="E35" s="82"/>
      <c r="F35" s="82"/>
      <c r="G35" s="82"/>
      <c r="H35" s="82"/>
      <c r="I35" s="82"/>
      <c r="J35" s="82"/>
      <c r="K35" s="82"/>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523"/>
      <c r="B36" s="82"/>
      <c r="C36" s="82"/>
      <c r="D36" s="82"/>
      <c r="E36" s="82"/>
      <c r="F36" s="82"/>
      <c r="G36" s="82"/>
      <c r="H36" s="82"/>
      <c r="I36" s="82"/>
      <c r="J36" s="82"/>
      <c r="K36" s="82"/>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523"/>
      <c r="B37" s="82"/>
      <c r="C37" s="82"/>
      <c r="D37" s="82"/>
      <c r="E37" s="82"/>
      <c r="F37" s="82"/>
      <c r="G37" s="82"/>
      <c r="H37" s="82"/>
      <c r="I37" s="82"/>
      <c r="J37" s="82"/>
      <c r="K37" s="82"/>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523"/>
      <c r="B38" s="82"/>
      <c r="C38" s="82"/>
      <c r="D38" s="82"/>
      <c r="E38" s="82"/>
      <c r="F38" s="82"/>
      <c r="G38" s="82"/>
      <c r="H38" s="82"/>
      <c r="I38" s="82"/>
      <c r="J38" s="82"/>
      <c r="K38" s="82"/>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523"/>
      <c r="B39" s="82"/>
      <c r="C39" s="82"/>
      <c r="D39" s="82"/>
      <c r="E39" s="82"/>
      <c r="F39" s="82"/>
      <c r="G39" s="82"/>
      <c r="H39" s="82"/>
      <c r="I39" s="82"/>
      <c r="J39" s="82"/>
      <c r="K39" s="82"/>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523"/>
      <c r="B40" s="82"/>
      <c r="C40" s="82"/>
      <c r="D40" s="82"/>
      <c r="E40" s="82"/>
      <c r="F40" s="82"/>
      <c r="G40" s="82"/>
      <c r="H40" s="82"/>
      <c r="I40" s="82"/>
      <c r="J40" s="82"/>
      <c r="K40" s="82"/>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523"/>
      <c r="B41" s="82"/>
      <c r="C41" s="82"/>
      <c r="D41" s="82"/>
      <c r="E41" s="82"/>
      <c r="F41" s="82"/>
      <c r="G41" s="82"/>
      <c r="H41" s="82"/>
      <c r="I41" s="82"/>
      <c r="J41" s="82"/>
      <c r="K41" s="82"/>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523"/>
      <c r="B42" s="82"/>
      <c r="C42" s="82"/>
      <c r="D42" s="82"/>
      <c r="E42" s="82"/>
      <c r="F42" s="82"/>
      <c r="G42" s="82"/>
      <c r="H42" s="82"/>
      <c r="I42" s="82"/>
      <c r="J42" s="82"/>
      <c r="K42" s="82"/>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523"/>
      <c r="B43" s="82"/>
      <c r="C43" s="82"/>
      <c r="D43" s="82"/>
      <c r="E43" s="82"/>
      <c r="F43" s="82"/>
      <c r="G43" s="82"/>
      <c r="H43" s="82"/>
      <c r="I43" s="82"/>
      <c r="J43" s="82"/>
      <c r="K43" s="82"/>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523"/>
      <c r="B44" s="82"/>
      <c r="C44" s="82"/>
      <c r="D44" s="82"/>
      <c r="E44" s="82"/>
      <c r="F44" s="82"/>
      <c r="G44" s="82"/>
      <c r="H44" s="82"/>
      <c r="I44" s="82"/>
      <c r="J44" s="82"/>
      <c r="K44" s="82"/>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523"/>
      <c r="B45" s="82"/>
      <c r="C45" s="82"/>
      <c r="D45" s="82"/>
      <c r="E45" s="82"/>
      <c r="F45" s="82"/>
      <c r="G45" s="82"/>
      <c r="H45" s="82"/>
      <c r="I45" s="82"/>
      <c r="J45" s="82"/>
      <c r="K45" s="82"/>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523"/>
      <c r="B46" s="82"/>
      <c r="C46" s="82"/>
      <c r="D46" s="82"/>
      <c r="E46" s="82"/>
      <c r="F46" s="82"/>
      <c r="G46" s="82"/>
      <c r="H46" s="82"/>
      <c r="I46" s="82"/>
      <c r="J46" s="82"/>
      <c r="K46" s="82"/>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523"/>
      <c r="B47" s="82"/>
      <c r="C47" s="82"/>
      <c r="D47" s="82"/>
      <c r="E47" s="82"/>
      <c r="F47" s="82"/>
      <c r="G47" s="82"/>
      <c r="H47" s="82"/>
      <c r="I47" s="82"/>
      <c r="J47" s="82"/>
      <c r="K47" s="82"/>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523"/>
      <c r="B48" s="82"/>
      <c r="C48" s="82"/>
      <c r="D48" s="82"/>
      <c r="E48" s="82"/>
      <c r="F48" s="82"/>
      <c r="G48" s="82"/>
      <c r="H48" s="82"/>
      <c r="I48" s="82"/>
      <c r="J48" s="82"/>
      <c r="K48" s="82"/>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523"/>
      <c r="B49" s="82"/>
      <c r="C49" s="82"/>
      <c r="D49" s="82"/>
      <c r="E49" s="82"/>
      <c r="F49" s="82"/>
      <c r="G49" s="82"/>
      <c r="H49" s="82"/>
      <c r="I49" s="82"/>
      <c r="J49" s="82"/>
      <c r="K49" s="82"/>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523"/>
      <c r="B50" s="82"/>
      <c r="C50" s="82"/>
      <c r="D50" s="82"/>
      <c r="E50" s="82"/>
      <c r="F50" s="82"/>
      <c r="G50" s="82"/>
      <c r="H50" s="82"/>
      <c r="I50" s="82"/>
      <c r="J50" s="82"/>
      <c r="K50" s="82"/>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523"/>
      <c r="B51" s="82"/>
      <c r="C51" s="82"/>
      <c r="D51" s="82"/>
      <c r="E51" s="82"/>
      <c r="F51" s="82"/>
      <c r="G51" s="82"/>
      <c r="H51" s="82"/>
      <c r="I51" s="82"/>
      <c r="J51" s="82"/>
      <c r="K51" s="82"/>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523"/>
      <c r="B52" s="82"/>
      <c r="C52" s="82"/>
      <c r="D52" s="82"/>
      <c r="E52" s="82"/>
      <c r="F52" s="82"/>
      <c r="G52" s="82"/>
      <c r="H52" s="82"/>
      <c r="I52" s="82"/>
      <c r="J52" s="82"/>
      <c r="K52" s="82"/>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523"/>
      <c r="B53" s="82"/>
      <c r="C53" s="82"/>
      <c r="D53" s="82"/>
      <c r="E53" s="82"/>
      <c r="F53" s="82"/>
      <c r="G53" s="82"/>
      <c r="H53" s="82"/>
      <c r="I53" s="82"/>
      <c r="J53" s="82"/>
      <c r="K53" s="82"/>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523"/>
      <c r="B54" s="82"/>
      <c r="C54" s="82"/>
      <c r="D54" s="82"/>
      <c r="E54" s="82"/>
      <c r="F54" s="82"/>
      <c r="G54" s="82"/>
      <c r="H54" s="82"/>
      <c r="I54" s="82"/>
      <c r="J54" s="82"/>
      <c r="K54" s="82"/>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523"/>
      <c r="B55" s="82"/>
      <c r="C55" s="82"/>
      <c r="D55" s="82"/>
      <c r="E55" s="82"/>
      <c r="F55" s="82"/>
      <c r="G55" s="82"/>
      <c r="H55" s="82"/>
      <c r="I55" s="82"/>
      <c r="J55" s="82"/>
      <c r="K55" s="82"/>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523"/>
      <c r="B56" s="82"/>
      <c r="C56" s="82"/>
      <c r="D56" s="82"/>
      <c r="E56" s="82"/>
      <c r="F56" s="82"/>
      <c r="G56" s="82"/>
      <c r="H56" s="82"/>
      <c r="I56" s="82"/>
      <c r="J56" s="82"/>
      <c r="K56" s="82"/>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523"/>
      <c r="B57" s="82"/>
      <c r="C57" s="82"/>
      <c r="D57" s="82"/>
      <c r="E57" s="82"/>
      <c r="F57" s="82"/>
      <c r="G57" s="82"/>
      <c r="H57" s="82"/>
      <c r="I57" s="82"/>
      <c r="J57" s="82"/>
      <c r="K57" s="82"/>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523"/>
      <c r="B58" s="82"/>
      <c r="C58" s="82"/>
      <c r="D58" s="82"/>
      <c r="E58" s="82"/>
      <c r="F58" s="82"/>
      <c r="G58" s="82"/>
      <c r="H58" s="82"/>
      <c r="I58" s="82"/>
      <c r="J58" s="82"/>
      <c r="K58" s="82"/>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523"/>
      <c r="B59" s="82"/>
      <c r="C59" s="82"/>
      <c r="D59" s="82"/>
      <c r="E59" s="82"/>
      <c r="F59" s="82"/>
      <c r="G59" s="82"/>
      <c r="H59" s="82"/>
      <c r="I59" s="82"/>
      <c r="J59" s="82"/>
      <c r="K59" s="82"/>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523"/>
      <c r="B60" s="82"/>
      <c r="C60" s="82"/>
      <c r="D60" s="82"/>
      <c r="E60" s="82"/>
      <c r="F60" s="82"/>
      <c r="G60" s="82"/>
      <c r="H60" s="82"/>
      <c r="I60" s="82"/>
      <c r="J60" s="82"/>
      <c r="K60" s="82"/>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523"/>
      <c r="B61" s="82"/>
      <c r="C61" s="82"/>
      <c r="D61" s="82"/>
      <c r="E61" s="82"/>
      <c r="F61" s="82"/>
      <c r="G61" s="82"/>
      <c r="H61" s="82"/>
      <c r="I61" s="82"/>
      <c r="J61" s="82"/>
      <c r="K61" s="82"/>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36" firstPageNumber="0" orientation="portrait" r:id="rId1"/>
  <headerFooter alignWithMargins="0">
    <oddHeader>&amp;CSpring 2018 Exam 5 Make-Up</oddHeader>
    <oddFooter>&amp;L&amp;1#&amp;"Calibri"&amp;10 C3 - confidential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Z200"/>
  <sheetViews>
    <sheetView workbookViewId="0"/>
  </sheetViews>
  <sheetFormatPr defaultColWidth="0" defaultRowHeight="0" customHeight="1" zeroHeight="1" x14ac:dyDescent="0.25"/>
  <cols>
    <col min="1" max="1" width="10.875" style="37" bestFit="1" customWidth="1"/>
    <col min="2" max="7" width="9.625" style="37" customWidth="1"/>
    <col min="8" max="9" width="9.375" style="37" customWidth="1"/>
    <col min="10" max="10" width="16.375" style="37" customWidth="1"/>
    <col min="11" max="49" width="9.375" style="37" customWidth="1"/>
    <col min="50" max="16384" width="9.375" style="37" hidden="1"/>
  </cols>
  <sheetData>
    <row r="1" spans="1:52" ht="15.75" customHeight="1" thickBot="1" x14ac:dyDescent="0.3">
      <c r="A1" s="1">
        <v>14</v>
      </c>
      <c r="B1" s="2"/>
      <c r="C1" s="33"/>
      <c r="D1" s="33"/>
      <c r="E1" s="33"/>
      <c r="F1" s="33"/>
      <c r="G1" s="33"/>
      <c r="H1" s="33"/>
      <c r="I1" s="33"/>
      <c r="J1" s="34"/>
      <c r="K1" s="82"/>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39"/>
      <c r="I2" s="39"/>
      <c r="J2" s="40"/>
      <c r="K2" s="82"/>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v>
      </c>
      <c r="B3" s="39"/>
      <c r="C3" s="39"/>
      <c r="D3" s="39"/>
      <c r="E3" s="39"/>
      <c r="F3" s="39"/>
      <c r="G3" s="39"/>
      <c r="H3" s="39"/>
      <c r="I3" s="39"/>
      <c r="J3" s="40"/>
      <c r="K3" s="82"/>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39" t="s">
        <v>501</v>
      </c>
      <c r="C4" s="39"/>
      <c r="D4" s="39"/>
      <c r="E4" s="39"/>
      <c r="F4" s="39"/>
      <c r="G4" s="39"/>
      <c r="H4" s="39"/>
      <c r="I4" s="39"/>
      <c r="J4" s="40"/>
      <c r="K4" s="82"/>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x14ac:dyDescent="0.25">
      <c r="A5" s="42"/>
      <c r="B5" s="39"/>
      <c r="C5" s="39"/>
      <c r="D5" s="39"/>
      <c r="E5" s="39"/>
      <c r="F5" s="39"/>
      <c r="G5" s="39"/>
      <c r="H5" s="39"/>
      <c r="I5" s="39"/>
      <c r="J5" s="40"/>
      <c r="K5" s="82"/>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x14ac:dyDescent="0.25">
      <c r="A6" s="42"/>
      <c r="B6" s="39" t="s">
        <v>502</v>
      </c>
      <c r="C6" s="39"/>
      <c r="D6" s="39"/>
      <c r="E6" s="39"/>
      <c r="F6" s="39"/>
      <c r="G6" s="39"/>
      <c r="H6" s="39"/>
      <c r="I6" s="39"/>
      <c r="J6" s="40"/>
      <c r="K6" s="82"/>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39" t="s">
        <v>503</v>
      </c>
      <c r="C7" s="39"/>
      <c r="D7" s="39"/>
      <c r="E7" s="39"/>
      <c r="F7" s="39"/>
      <c r="G7" s="39"/>
      <c r="H7" s="39"/>
      <c r="I7" s="39"/>
      <c r="J7" s="40"/>
      <c r="K7" s="82"/>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39" t="s">
        <v>504</v>
      </c>
      <c r="C8" s="39"/>
      <c r="D8" s="39"/>
      <c r="E8" s="39"/>
      <c r="F8" s="39"/>
      <c r="G8" s="39"/>
      <c r="H8" s="39"/>
      <c r="I8" s="39"/>
      <c r="J8" s="40"/>
      <c r="K8" s="82"/>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42"/>
      <c r="B9" s="39"/>
      <c r="C9" s="39"/>
      <c r="D9" s="39"/>
      <c r="E9" s="39"/>
      <c r="F9" s="39"/>
      <c r="G9" s="39"/>
      <c r="H9" s="39"/>
      <c r="I9" s="39"/>
      <c r="J9" s="40"/>
      <c r="K9" s="82"/>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39" t="s">
        <v>505</v>
      </c>
      <c r="C10" s="39"/>
      <c r="D10" s="39"/>
      <c r="E10" s="39"/>
      <c r="F10" s="39"/>
      <c r="G10" s="39"/>
      <c r="H10" s="39"/>
      <c r="I10" s="39"/>
      <c r="J10" s="40"/>
      <c r="K10" s="82"/>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88" t="s">
        <v>506</v>
      </c>
      <c r="C11" s="39"/>
      <c r="D11" s="39"/>
      <c r="E11" s="39"/>
      <c r="F11" s="39"/>
      <c r="G11" s="39"/>
      <c r="H11" s="39"/>
      <c r="I11" s="39"/>
      <c r="J11" s="40"/>
      <c r="K11" s="82"/>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x14ac:dyDescent="0.25">
      <c r="A12" s="42"/>
      <c r="B12" s="88" t="s">
        <v>507</v>
      </c>
      <c r="C12" s="39"/>
      <c r="D12" s="39"/>
      <c r="E12" s="39"/>
      <c r="F12" s="39"/>
      <c r="G12" s="39"/>
      <c r="H12" s="39"/>
      <c r="I12" s="39"/>
      <c r="J12" s="40"/>
      <c r="K12" s="82"/>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39"/>
      <c r="C13" s="39"/>
      <c r="D13" s="39"/>
      <c r="E13" s="39"/>
      <c r="F13" s="39"/>
      <c r="G13" s="39"/>
      <c r="H13" s="39"/>
      <c r="I13" s="39"/>
      <c r="J13" s="40"/>
      <c r="K13" s="82"/>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v>0.5</v>
      </c>
      <c r="B14" s="39" t="s">
        <v>46</v>
      </c>
      <c r="C14" s="39"/>
      <c r="D14" s="39"/>
      <c r="E14" s="39"/>
      <c r="F14" s="39"/>
      <c r="G14" s="46"/>
      <c r="H14" s="46"/>
      <c r="I14" s="46"/>
      <c r="J14" s="40"/>
      <c r="K14" s="82"/>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133" t="s">
        <v>508</v>
      </c>
      <c r="C15" s="39"/>
      <c r="D15" s="39"/>
      <c r="E15" s="39"/>
      <c r="F15" s="39"/>
      <c r="G15" s="46"/>
      <c r="H15" s="46"/>
      <c r="I15" s="46"/>
      <c r="J15" s="40"/>
      <c r="K15" s="82" t="s">
        <v>470</v>
      </c>
      <c r="L15" s="36">
        <v>1</v>
      </c>
      <c r="M15" s="36" t="s">
        <v>514</v>
      </c>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133"/>
      <c r="C16" s="39"/>
      <c r="D16" s="39"/>
      <c r="E16" s="39"/>
      <c r="F16" s="39"/>
      <c r="G16" s="46"/>
      <c r="H16" s="46"/>
      <c r="I16" s="46"/>
      <c r="J16" s="40"/>
      <c r="K16" s="82"/>
      <c r="L16" s="36">
        <v>2</v>
      </c>
      <c r="M16" s="36" t="s">
        <v>515</v>
      </c>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v>0.5</v>
      </c>
      <c r="B17" s="39" t="s">
        <v>21</v>
      </c>
      <c r="C17" s="39"/>
      <c r="D17" s="256"/>
      <c r="E17" s="70"/>
      <c r="F17" s="70"/>
      <c r="G17" s="71"/>
      <c r="H17" s="71"/>
      <c r="I17" s="71"/>
      <c r="J17" s="40"/>
      <c r="K17" s="82"/>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133" t="s">
        <v>509</v>
      </c>
      <c r="C18" s="39"/>
      <c r="D18" s="522"/>
      <c r="E18" s="522"/>
      <c r="F18" s="522"/>
      <c r="G18" s="522"/>
      <c r="H18" s="522"/>
      <c r="I18" s="522"/>
      <c r="J18" s="40"/>
      <c r="K18" s="82" t="s">
        <v>40</v>
      </c>
      <c r="L18" s="36">
        <v>1</v>
      </c>
      <c r="M18" s="36" t="s">
        <v>516</v>
      </c>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thickBot="1" x14ac:dyDescent="0.3">
      <c r="A19" s="75"/>
      <c r="B19" s="76"/>
      <c r="C19" s="257"/>
      <c r="D19" s="258"/>
      <c r="E19" s="258"/>
      <c r="F19" s="258"/>
      <c r="G19" s="258"/>
      <c r="H19" s="258"/>
      <c r="I19" s="258"/>
      <c r="J19" s="259"/>
      <c r="K19" s="82"/>
      <c r="L19" s="36">
        <v>2</v>
      </c>
      <c r="M19" s="36" t="s">
        <v>517</v>
      </c>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82"/>
      <c r="B20" s="82"/>
      <c r="C20" s="82"/>
      <c r="D20" s="82"/>
      <c r="E20" s="82"/>
      <c r="F20" s="82"/>
      <c r="G20" s="82"/>
      <c r="H20" s="82"/>
      <c r="I20" s="82"/>
      <c r="J20" s="82"/>
      <c r="K20" s="8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82"/>
      <c r="B21" s="82"/>
      <c r="C21" s="82"/>
      <c r="D21" s="82"/>
      <c r="E21" s="82"/>
      <c r="F21" s="82"/>
      <c r="G21" s="82"/>
      <c r="H21" s="82"/>
      <c r="I21" s="82"/>
      <c r="J21" s="82"/>
      <c r="K21" s="82"/>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82"/>
      <c r="B22" s="82"/>
      <c r="C22" s="82"/>
      <c r="D22" s="82"/>
      <c r="E22" s="82"/>
      <c r="F22" s="82"/>
      <c r="G22" s="82"/>
      <c r="H22" s="82"/>
      <c r="I22" s="82"/>
      <c r="J22" s="82"/>
      <c r="K22" s="82"/>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82"/>
      <c r="B23" s="82"/>
      <c r="C23" s="82"/>
      <c r="D23" s="82"/>
      <c r="E23" s="82"/>
      <c r="F23" s="82"/>
      <c r="G23" s="82"/>
      <c r="H23" s="82"/>
      <c r="I23" s="82"/>
      <c r="J23" s="82"/>
      <c r="K23" s="82"/>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82"/>
      <c r="B24" s="82"/>
      <c r="C24" s="82"/>
      <c r="D24" s="82"/>
      <c r="E24" s="82"/>
      <c r="F24" s="82"/>
      <c r="G24" s="82"/>
      <c r="H24" s="82"/>
      <c r="I24" s="82"/>
      <c r="J24" s="82"/>
      <c r="K24" s="82"/>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82"/>
      <c r="B25" s="82"/>
      <c r="C25" s="82"/>
      <c r="D25" s="82"/>
      <c r="E25" s="82"/>
      <c r="F25" s="82"/>
      <c r="G25" s="82"/>
      <c r="H25" s="82"/>
      <c r="I25" s="82"/>
      <c r="J25" s="82"/>
      <c r="K25" s="82"/>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523"/>
      <c r="B26" s="82"/>
      <c r="C26" s="82"/>
      <c r="D26" s="82"/>
      <c r="E26" s="82"/>
      <c r="F26" s="82"/>
      <c r="G26" s="82"/>
      <c r="H26" s="82"/>
      <c r="I26" s="82"/>
      <c r="J26" s="82"/>
      <c r="K26" s="82"/>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523"/>
      <c r="B27" s="82"/>
      <c r="C27" s="82"/>
      <c r="D27" s="82"/>
      <c r="E27" s="82"/>
      <c r="F27" s="82"/>
      <c r="G27" s="82"/>
      <c r="H27" s="82"/>
      <c r="I27" s="82"/>
      <c r="J27" s="82"/>
      <c r="K27" s="82"/>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523"/>
      <c r="B28" s="82"/>
      <c r="C28" s="82"/>
      <c r="D28" s="82"/>
      <c r="E28" s="82"/>
      <c r="F28" s="82"/>
      <c r="G28" s="82"/>
      <c r="H28" s="82"/>
      <c r="I28" s="82"/>
      <c r="J28" s="82"/>
      <c r="K28" s="82"/>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523"/>
      <c r="B29" s="82"/>
      <c r="C29" s="82"/>
      <c r="D29" s="82"/>
      <c r="E29" s="82"/>
      <c r="F29" s="82"/>
      <c r="G29" s="82"/>
      <c r="H29" s="82"/>
      <c r="I29" s="82"/>
      <c r="J29" s="82"/>
      <c r="K29" s="82"/>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523"/>
      <c r="B30" s="82"/>
      <c r="C30" s="82"/>
      <c r="D30" s="82"/>
      <c r="E30" s="82"/>
      <c r="F30" s="82"/>
      <c r="G30" s="82"/>
      <c r="H30" s="82"/>
      <c r="I30" s="82"/>
      <c r="J30" s="82"/>
      <c r="K30" s="82"/>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523"/>
      <c r="B31" s="82"/>
      <c r="C31" s="82"/>
      <c r="D31" s="82"/>
      <c r="E31" s="82"/>
      <c r="F31" s="82"/>
      <c r="G31" s="82"/>
      <c r="H31" s="82"/>
      <c r="I31" s="82"/>
      <c r="J31" s="82"/>
      <c r="K31" s="82"/>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523"/>
      <c r="B32" s="82"/>
      <c r="C32" s="82"/>
      <c r="D32" s="82"/>
      <c r="E32" s="82"/>
      <c r="F32" s="82"/>
      <c r="G32" s="82"/>
      <c r="H32" s="82"/>
      <c r="I32" s="82"/>
      <c r="J32" s="82"/>
      <c r="K32" s="82"/>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523"/>
      <c r="B33" s="82"/>
      <c r="C33" s="82"/>
      <c r="D33" s="82"/>
      <c r="E33" s="82"/>
      <c r="F33" s="82"/>
      <c r="G33" s="82"/>
      <c r="H33" s="82"/>
      <c r="I33" s="82"/>
      <c r="J33" s="82"/>
      <c r="K33" s="82"/>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523"/>
      <c r="B34" s="82"/>
      <c r="C34" s="82"/>
      <c r="D34" s="82"/>
      <c r="E34" s="82"/>
      <c r="F34" s="82"/>
      <c r="G34" s="82"/>
      <c r="H34" s="82"/>
      <c r="I34" s="82"/>
      <c r="J34" s="82"/>
      <c r="K34" s="82"/>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523"/>
      <c r="B35" s="82"/>
      <c r="C35" s="82"/>
      <c r="D35" s="82"/>
      <c r="E35" s="82"/>
      <c r="F35" s="82"/>
      <c r="G35" s="82"/>
      <c r="H35" s="82"/>
      <c r="I35" s="82"/>
      <c r="J35" s="82"/>
      <c r="K35" s="82"/>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523"/>
      <c r="B36" s="82"/>
      <c r="C36" s="82"/>
      <c r="D36" s="82"/>
      <c r="E36" s="82"/>
      <c r="F36" s="82"/>
      <c r="G36" s="82"/>
      <c r="H36" s="82"/>
      <c r="I36" s="82"/>
      <c r="J36" s="82"/>
      <c r="K36" s="82"/>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523"/>
      <c r="B37" s="82"/>
      <c r="C37" s="82"/>
      <c r="D37" s="82"/>
      <c r="E37" s="82"/>
      <c r="F37" s="82"/>
      <c r="G37" s="82"/>
      <c r="H37" s="82"/>
      <c r="I37" s="82"/>
      <c r="J37" s="82"/>
      <c r="K37" s="82"/>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523"/>
      <c r="B38" s="82"/>
      <c r="C38" s="82"/>
      <c r="D38" s="82"/>
      <c r="E38" s="82"/>
      <c r="F38" s="82"/>
      <c r="G38" s="82"/>
      <c r="H38" s="82"/>
      <c r="I38" s="82"/>
      <c r="J38" s="82"/>
      <c r="K38" s="82"/>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523"/>
      <c r="B39" s="82"/>
      <c r="C39" s="82"/>
      <c r="D39" s="82"/>
      <c r="E39" s="82"/>
      <c r="F39" s="82"/>
      <c r="G39" s="82"/>
      <c r="H39" s="82"/>
      <c r="I39" s="82"/>
      <c r="J39" s="82"/>
      <c r="K39" s="82"/>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523"/>
      <c r="B40" s="82"/>
      <c r="C40" s="82"/>
      <c r="D40" s="82"/>
      <c r="E40" s="82"/>
      <c r="F40" s="82"/>
      <c r="G40" s="82"/>
      <c r="H40" s="82"/>
      <c r="I40" s="82"/>
      <c r="J40" s="82"/>
      <c r="K40" s="82"/>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523"/>
      <c r="B41" s="82"/>
      <c r="C41" s="82"/>
      <c r="D41" s="82"/>
      <c r="E41" s="82"/>
      <c r="F41" s="82"/>
      <c r="G41" s="82"/>
      <c r="H41" s="82"/>
      <c r="I41" s="82"/>
      <c r="J41" s="82"/>
      <c r="K41" s="82"/>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523"/>
      <c r="B42" s="82"/>
      <c r="C42" s="82"/>
      <c r="D42" s="82"/>
      <c r="E42" s="82"/>
      <c r="F42" s="82"/>
      <c r="G42" s="82"/>
      <c r="H42" s="82"/>
      <c r="I42" s="82"/>
      <c r="J42" s="82"/>
      <c r="K42" s="82"/>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523"/>
      <c r="B43" s="82"/>
      <c r="C43" s="82"/>
      <c r="D43" s="82"/>
      <c r="E43" s="82"/>
      <c r="F43" s="82"/>
      <c r="G43" s="82"/>
      <c r="H43" s="82"/>
      <c r="I43" s="82"/>
      <c r="J43" s="82"/>
      <c r="K43" s="82"/>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523"/>
      <c r="B44" s="82"/>
      <c r="C44" s="82"/>
      <c r="D44" s="82"/>
      <c r="E44" s="82"/>
      <c r="F44" s="82"/>
      <c r="G44" s="82"/>
      <c r="H44" s="82"/>
      <c r="I44" s="82"/>
      <c r="J44" s="82"/>
      <c r="K44" s="82"/>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523"/>
      <c r="B45" s="82"/>
      <c r="C45" s="82"/>
      <c r="D45" s="82"/>
      <c r="E45" s="82"/>
      <c r="F45" s="82"/>
      <c r="G45" s="82"/>
      <c r="H45" s="82"/>
      <c r="I45" s="82"/>
      <c r="J45" s="82"/>
      <c r="K45" s="82"/>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523"/>
      <c r="B46" s="82"/>
      <c r="C46" s="82"/>
      <c r="D46" s="82"/>
      <c r="E46" s="82"/>
      <c r="F46" s="82"/>
      <c r="G46" s="82"/>
      <c r="H46" s="82"/>
      <c r="I46" s="82"/>
      <c r="J46" s="82"/>
      <c r="K46" s="82"/>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523"/>
      <c r="B47" s="82"/>
      <c r="C47" s="82"/>
      <c r="D47" s="82"/>
      <c r="E47" s="82"/>
      <c r="F47" s="82"/>
      <c r="G47" s="82"/>
      <c r="H47" s="82"/>
      <c r="I47" s="82"/>
      <c r="J47" s="82"/>
      <c r="K47" s="82"/>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523"/>
      <c r="B48" s="82"/>
      <c r="C48" s="82"/>
      <c r="D48" s="82"/>
      <c r="E48" s="82"/>
      <c r="F48" s="82"/>
      <c r="G48" s="82"/>
      <c r="H48" s="82"/>
      <c r="I48" s="82"/>
      <c r="J48" s="82"/>
      <c r="K48" s="82"/>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523"/>
      <c r="B49" s="82"/>
      <c r="C49" s="82"/>
      <c r="D49" s="82"/>
      <c r="E49" s="82"/>
      <c r="F49" s="82"/>
      <c r="G49" s="82"/>
      <c r="H49" s="82"/>
      <c r="I49" s="82"/>
      <c r="J49" s="82"/>
      <c r="K49" s="82"/>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523"/>
      <c r="B50" s="82"/>
      <c r="C50" s="82"/>
      <c r="D50" s="82"/>
      <c r="E50" s="82"/>
      <c r="F50" s="82"/>
      <c r="G50" s="82"/>
      <c r="H50" s="82"/>
      <c r="I50" s="82"/>
      <c r="J50" s="82"/>
      <c r="K50" s="82"/>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523"/>
      <c r="B51" s="82"/>
      <c r="C51" s="82"/>
      <c r="D51" s="82"/>
      <c r="E51" s="82"/>
      <c r="F51" s="82"/>
      <c r="G51" s="82"/>
      <c r="H51" s="82"/>
      <c r="I51" s="82"/>
      <c r="J51" s="82"/>
      <c r="K51" s="82"/>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523"/>
      <c r="B52" s="82"/>
      <c r="C52" s="82"/>
      <c r="D52" s="82"/>
      <c r="E52" s="82"/>
      <c r="F52" s="82"/>
      <c r="G52" s="82"/>
      <c r="H52" s="82"/>
      <c r="I52" s="82"/>
      <c r="J52" s="82"/>
      <c r="K52" s="82"/>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523"/>
      <c r="B53" s="82"/>
      <c r="C53" s="82"/>
      <c r="D53" s="82"/>
      <c r="E53" s="82"/>
      <c r="F53" s="82"/>
      <c r="G53" s="82"/>
      <c r="H53" s="82"/>
      <c r="I53" s="82"/>
      <c r="J53" s="82"/>
      <c r="K53" s="82"/>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523"/>
      <c r="B54" s="82"/>
      <c r="C54" s="82"/>
      <c r="D54" s="82"/>
      <c r="E54" s="82"/>
      <c r="F54" s="82"/>
      <c r="G54" s="82"/>
      <c r="H54" s="82"/>
      <c r="I54" s="82"/>
      <c r="J54" s="82"/>
      <c r="K54" s="82"/>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523"/>
      <c r="B55" s="82"/>
      <c r="C55" s="82"/>
      <c r="D55" s="82"/>
      <c r="E55" s="82"/>
      <c r="F55" s="82"/>
      <c r="G55" s="82"/>
      <c r="H55" s="82"/>
      <c r="I55" s="82"/>
      <c r="J55" s="82"/>
      <c r="K55" s="82"/>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523"/>
      <c r="B56" s="82"/>
      <c r="C56" s="82"/>
      <c r="D56" s="82"/>
      <c r="E56" s="82"/>
      <c r="F56" s="82"/>
      <c r="G56" s="82"/>
      <c r="H56" s="82"/>
      <c r="I56" s="82"/>
      <c r="J56" s="82"/>
      <c r="K56" s="82"/>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523"/>
      <c r="B57" s="82"/>
      <c r="C57" s="82"/>
      <c r="D57" s="82"/>
      <c r="E57" s="82"/>
      <c r="F57" s="82"/>
      <c r="G57" s="82"/>
      <c r="H57" s="82"/>
      <c r="I57" s="82"/>
      <c r="J57" s="82"/>
      <c r="K57" s="82"/>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523"/>
      <c r="B58" s="82"/>
      <c r="C58" s="82"/>
      <c r="D58" s="82"/>
      <c r="E58" s="82"/>
      <c r="F58" s="82"/>
      <c r="G58" s="82"/>
      <c r="H58" s="82"/>
      <c r="I58" s="82"/>
      <c r="J58" s="82"/>
      <c r="K58" s="82"/>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523"/>
      <c r="B59" s="82"/>
      <c r="C59" s="82"/>
      <c r="D59" s="82"/>
      <c r="E59" s="82"/>
      <c r="F59" s="82"/>
      <c r="G59" s="82"/>
      <c r="H59" s="82"/>
      <c r="I59" s="82"/>
      <c r="J59" s="82"/>
      <c r="K59" s="82"/>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523"/>
      <c r="B60" s="82"/>
      <c r="C60" s="82"/>
      <c r="D60" s="82"/>
      <c r="E60" s="82"/>
      <c r="F60" s="82"/>
      <c r="G60" s="82"/>
      <c r="H60" s="82"/>
      <c r="I60" s="82"/>
      <c r="J60" s="82"/>
      <c r="K60" s="82"/>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523"/>
      <c r="B61" s="82"/>
      <c r="C61" s="82"/>
      <c r="D61" s="82"/>
      <c r="E61" s="82"/>
      <c r="F61" s="82"/>
      <c r="G61" s="82"/>
      <c r="H61" s="82"/>
      <c r="I61" s="82"/>
      <c r="J61" s="82"/>
      <c r="K61" s="82"/>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29" firstPageNumber="0" orientation="portrait" r:id="rId1"/>
  <headerFooter alignWithMargins="0">
    <oddHeader>&amp;CSpring 2018 Exam 5 Make-Up</oddHeader>
    <oddFooter>&amp;L&amp;1#&amp;"Calibri"&amp;10 C3 - confidential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Y38"/>
  <sheetViews>
    <sheetView workbookViewId="0"/>
  </sheetViews>
  <sheetFormatPr defaultColWidth="9" defaultRowHeight="15" x14ac:dyDescent="0.25"/>
  <cols>
    <col min="1" max="1" width="9" style="151"/>
    <col min="2" max="2" width="11.5" style="151" customWidth="1"/>
    <col min="3" max="3" width="20.125" style="151" customWidth="1"/>
    <col min="4" max="4" width="19.75" style="151" bestFit="1" customWidth="1"/>
    <col min="5" max="5" width="20.125" style="151" customWidth="1"/>
    <col min="6" max="6" width="11.875" style="151" customWidth="1"/>
    <col min="7" max="16384" width="9" style="151"/>
  </cols>
  <sheetData>
    <row r="1" spans="1:25" ht="15.75" thickBot="1" x14ac:dyDescent="0.3">
      <c r="A1" s="1">
        <v>15</v>
      </c>
      <c r="B1" s="2"/>
      <c r="C1" s="33"/>
      <c r="D1" s="33"/>
      <c r="E1" s="33"/>
      <c r="F1" s="33"/>
      <c r="G1" s="33"/>
      <c r="H1" s="34"/>
      <c r="I1" s="82"/>
      <c r="J1" s="36"/>
      <c r="K1" s="36"/>
      <c r="L1" s="36"/>
      <c r="M1" s="36"/>
      <c r="N1" s="36"/>
      <c r="O1" s="36"/>
      <c r="P1" s="36"/>
      <c r="Q1" s="36"/>
      <c r="R1" s="36"/>
      <c r="S1" s="36"/>
      <c r="T1" s="36"/>
      <c r="U1" s="36"/>
      <c r="V1" s="36"/>
      <c r="W1" s="36"/>
      <c r="X1" s="36"/>
      <c r="Y1" s="36"/>
    </row>
    <row r="2" spans="1:25" x14ac:dyDescent="0.25">
      <c r="A2" s="38" t="s">
        <v>0</v>
      </c>
      <c r="B2" s="39"/>
      <c r="C2" s="39"/>
      <c r="D2" s="39"/>
      <c r="E2" s="39"/>
      <c r="F2" s="39"/>
      <c r="G2" s="39"/>
      <c r="H2" s="40"/>
      <c r="I2" s="82"/>
      <c r="J2" s="36"/>
      <c r="K2" s="36"/>
      <c r="L2" s="36"/>
      <c r="M2" s="36"/>
      <c r="N2" s="36"/>
      <c r="O2" s="36"/>
      <c r="P2" s="36"/>
      <c r="Q2" s="36"/>
      <c r="R2" s="36"/>
      <c r="S2" s="36"/>
      <c r="T2" s="36"/>
      <c r="U2" s="36"/>
      <c r="V2" s="36"/>
      <c r="W2" s="36"/>
      <c r="X2" s="36"/>
      <c r="Y2" s="36"/>
    </row>
    <row r="3" spans="1:25" x14ac:dyDescent="0.25">
      <c r="A3" s="42">
        <v>2.25</v>
      </c>
      <c r="B3" s="39"/>
      <c r="C3" s="39"/>
      <c r="D3" s="39"/>
      <c r="E3" s="39"/>
      <c r="F3" s="39"/>
      <c r="G3" s="39"/>
      <c r="H3" s="40"/>
      <c r="I3" s="82"/>
      <c r="J3" s="36" t="s">
        <v>19</v>
      </c>
      <c r="K3" s="36"/>
      <c r="L3" s="36" t="s">
        <v>518</v>
      </c>
      <c r="M3" s="36"/>
      <c r="N3" s="36"/>
      <c r="O3" s="36"/>
      <c r="P3" s="36"/>
      <c r="Q3" s="36"/>
      <c r="R3" s="36"/>
      <c r="S3" s="36"/>
      <c r="T3" s="36"/>
      <c r="U3" s="36"/>
      <c r="V3" s="36"/>
      <c r="W3" s="36"/>
      <c r="X3" s="36"/>
      <c r="Y3" s="36"/>
    </row>
    <row r="4" spans="1:25" x14ac:dyDescent="0.25">
      <c r="A4" s="42"/>
      <c r="B4" s="88" t="s">
        <v>414</v>
      </c>
      <c r="C4" s="39"/>
      <c r="D4" s="39"/>
      <c r="E4" s="39"/>
      <c r="F4" s="39"/>
      <c r="G4" s="46"/>
      <c r="H4" s="47"/>
      <c r="I4" s="82"/>
      <c r="J4" s="36"/>
      <c r="K4" s="36" t="s">
        <v>61</v>
      </c>
      <c r="L4" s="36">
        <v>12</v>
      </c>
      <c r="M4" s="36">
        <v>24</v>
      </c>
      <c r="N4" s="36">
        <v>36</v>
      </c>
      <c r="O4" s="36"/>
      <c r="P4" s="36"/>
      <c r="Q4" s="36"/>
      <c r="R4" s="36"/>
      <c r="S4" s="36"/>
      <c r="T4" s="36"/>
      <c r="U4" s="36"/>
      <c r="V4" s="36"/>
      <c r="W4" s="36"/>
      <c r="X4" s="36"/>
      <c r="Y4" s="36"/>
    </row>
    <row r="5" spans="1:25" ht="15.75" thickBot="1" x14ac:dyDescent="0.3">
      <c r="A5" s="42"/>
      <c r="B5" s="88"/>
      <c r="C5" s="39"/>
      <c r="D5" s="39"/>
      <c r="E5" s="39"/>
      <c r="F5" s="39"/>
      <c r="G5" s="46"/>
      <c r="H5" s="47"/>
      <c r="I5" s="82"/>
      <c r="J5" s="36"/>
      <c r="K5" s="36">
        <v>2015</v>
      </c>
      <c r="L5" s="509">
        <f>G8+G12+G20</f>
        <v>1000</v>
      </c>
      <c r="M5" s="509">
        <f>G9+G14+G20</f>
        <v>3500</v>
      </c>
      <c r="N5" s="509">
        <f>G10+G15+G20</f>
        <v>5600</v>
      </c>
      <c r="O5" s="36"/>
      <c r="P5" s="36"/>
      <c r="Q5" s="36"/>
      <c r="R5" s="36"/>
      <c r="S5" s="36"/>
      <c r="T5" s="36"/>
      <c r="U5" s="36"/>
      <c r="V5" s="36"/>
      <c r="W5" s="36"/>
      <c r="X5" s="36"/>
      <c r="Y5" s="36"/>
    </row>
    <row r="6" spans="1:25" x14ac:dyDescent="0.25">
      <c r="A6" s="42"/>
      <c r="B6" s="1200" t="s">
        <v>519</v>
      </c>
      <c r="C6" s="1202" t="s">
        <v>36</v>
      </c>
      <c r="D6" s="1202" t="s">
        <v>520</v>
      </c>
      <c r="E6" s="1204" t="s">
        <v>521</v>
      </c>
      <c r="F6" s="524" t="s">
        <v>522</v>
      </c>
      <c r="G6" s="525" t="s">
        <v>523</v>
      </c>
      <c r="H6" s="47"/>
      <c r="I6" s="82"/>
      <c r="J6" s="36"/>
      <c r="K6" s="36">
        <v>2016</v>
      </c>
      <c r="L6" s="509">
        <f>G17</f>
        <v>5000</v>
      </c>
      <c r="M6" s="509">
        <f>G11+G18</f>
        <v>8400</v>
      </c>
      <c r="N6" s="36"/>
      <c r="O6" s="36"/>
      <c r="P6" s="36"/>
      <c r="Q6" s="36"/>
      <c r="R6" s="36"/>
      <c r="S6" s="36"/>
      <c r="T6" s="36"/>
      <c r="U6" s="36"/>
      <c r="V6" s="36"/>
      <c r="W6" s="36"/>
      <c r="X6" s="36"/>
      <c r="Y6" s="36"/>
    </row>
    <row r="7" spans="1:25" ht="15.75" thickBot="1" x14ac:dyDescent="0.3">
      <c r="A7" s="42"/>
      <c r="B7" s="1201"/>
      <c r="C7" s="1203"/>
      <c r="D7" s="1203"/>
      <c r="E7" s="1205"/>
      <c r="F7" s="526" t="s">
        <v>524</v>
      </c>
      <c r="G7" s="23" t="s">
        <v>525</v>
      </c>
      <c r="H7" s="47"/>
      <c r="I7" s="82"/>
      <c r="J7" s="36"/>
      <c r="K7" s="36">
        <v>2017</v>
      </c>
      <c r="L7" s="509">
        <f>G16</f>
        <v>500</v>
      </c>
      <c r="M7" s="36"/>
      <c r="N7" s="36"/>
      <c r="O7" s="36"/>
      <c r="P7" s="36"/>
      <c r="Q7" s="36"/>
      <c r="R7" s="36"/>
      <c r="S7" s="36"/>
      <c r="T7" s="36"/>
      <c r="U7" s="36"/>
      <c r="V7" s="36"/>
      <c r="W7" s="36"/>
      <c r="X7" s="36"/>
      <c r="Y7" s="36"/>
    </row>
    <row r="8" spans="1:25" x14ac:dyDescent="0.25">
      <c r="A8" s="42"/>
      <c r="B8" s="1206">
        <v>1</v>
      </c>
      <c r="C8" s="1196">
        <v>42005</v>
      </c>
      <c r="D8" s="1196">
        <v>42186</v>
      </c>
      <c r="E8" s="527">
        <v>42369</v>
      </c>
      <c r="F8" s="528">
        <v>500</v>
      </c>
      <c r="G8" s="529">
        <v>600</v>
      </c>
      <c r="H8" s="47"/>
      <c r="I8" s="82"/>
      <c r="J8" s="36"/>
      <c r="K8" s="36"/>
      <c r="L8" s="36"/>
      <c r="M8" s="36"/>
      <c r="N8" s="36"/>
      <c r="O8" s="36"/>
      <c r="P8" s="36"/>
      <c r="Q8" s="36"/>
      <c r="R8" s="36"/>
      <c r="S8" s="36"/>
      <c r="T8" s="36"/>
      <c r="U8" s="36"/>
      <c r="V8" s="36"/>
      <c r="W8" s="36"/>
      <c r="X8" s="36"/>
      <c r="Y8" s="36"/>
    </row>
    <row r="9" spans="1:25" x14ac:dyDescent="0.25">
      <c r="A9" s="42"/>
      <c r="B9" s="1207"/>
      <c r="C9" s="1199"/>
      <c r="D9" s="1199"/>
      <c r="E9" s="17">
        <v>42735</v>
      </c>
      <c r="F9" s="530">
        <v>400</v>
      </c>
      <c r="G9" s="531">
        <v>900</v>
      </c>
      <c r="H9" s="47"/>
      <c r="I9" s="82"/>
      <c r="J9" s="36"/>
      <c r="K9" s="36"/>
      <c r="L9" s="36"/>
      <c r="M9" s="36"/>
      <c r="N9" s="36"/>
      <c r="O9" s="36"/>
      <c r="P9" s="36"/>
      <c r="Q9" s="36"/>
      <c r="R9" s="36"/>
      <c r="S9" s="36"/>
      <c r="T9" s="36"/>
      <c r="U9" s="36"/>
      <c r="V9" s="36"/>
      <c r="W9" s="36"/>
      <c r="X9" s="36"/>
      <c r="Y9" s="36"/>
    </row>
    <row r="10" spans="1:25" ht="15.75" thickBot="1" x14ac:dyDescent="0.3">
      <c r="A10" s="42"/>
      <c r="B10" s="1208"/>
      <c r="C10" s="1197"/>
      <c r="D10" s="1197"/>
      <c r="E10" s="21">
        <v>43100</v>
      </c>
      <c r="F10" s="532">
        <v>200</v>
      </c>
      <c r="G10" s="533">
        <v>1500</v>
      </c>
      <c r="H10" s="47"/>
      <c r="I10" s="82"/>
      <c r="J10" s="509" t="s">
        <v>21</v>
      </c>
      <c r="K10" s="36"/>
      <c r="L10" s="36" t="s">
        <v>526</v>
      </c>
      <c r="M10" s="36"/>
      <c r="N10" s="36"/>
      <c r="O10" s="36"/>
      <c r="P10" s="36"/>
      <c r="Q10" s="36"/>
      <c r="R10" s="36"/>
      <c r="S10" s="36"/>
      <c r="T10" s="36"/>
      <c r="U10" s="36"/>
      <c r="V10" s="36"/>
      <c r="W10" s="36"/>
      <c r="X10" s="36"/>
      <c r="Y10" s="36"/>
    </row>
    <row r="11" spans="1:25" ht="15.75" thickBot="1" x14ac:dyDescent="0.3">
      <c r="A11" s="42"/>
      <c r="B11" s="534">
        <v>2</v>
      </c>
      <c r="C11" s="535">
        <v>42583</v>
      </c>
      <c r="D11" s="535">
        <v>42769</v>
      </c>
      <c r="E11" s="536">
        <v>43100</v>
      </c>
      <c r="F11" s="537">
        <v>700</v>
      </c>
      <c r="G11" s="538">
        <v>400</v>
      </c>
      <c r="H11" s="47"/>
      <c r="I11" s="82"/>
      <c r="J11" s="36"/>
      <c r="K11" s="36" t="s">
        <v>61</v>
      </c>
      <c r="L11" s="36">
        <v>12</v>
      </c>
      <c r="M11" s="36">
        <v>24</v>
      </c>
      <c r="N11" s="36">
        <v>36</v>
      </c>
      <c r="O11" s="36"/>
      <c r="P11" s="36"/>
      <c r="Q11" s="36"/>
      <c r="R11" s="36"/>
      <c r="S11" s="36"/>
      <c r="T11" s="36"/>
      <c r="U11" s="36"/>
      <c r="V11" s="36"/>
      <c r="W11" s="36"/>
      <c r="X11" s="36"/>
      <c r="Y11" s="36"/>
    </row>
    <row r="12" spans="1:25" x14ac:dyDescent="0.25">
      <c r="A12" s="42"/>
      <c r="B12" s="1194">
        <v>3</v>
      </c>
      <c r="C12" s="1196">
        <v>42140</v>
      </c>
      <c r="D12" s="1196">
        <v>42277</v>
      </c>
      <c r="E12" s="527">
        <v>42369</v>
      </c>
      <c r="F12" s="528">
        <v>2500</v>
      </c>
      <c r="G12" s="529">
        <v>300</v>
      </c>
      <c r="H12" s="47"/>
      <c r="I12" s="82"/>
      <c r="J12" s="36"/>
      <c r="K12" s="36">
        <v>2015</v>
      </c>
      <c r="L12" s="509">
        <f>L5+F8+F12+F20</f>
        <v>4000</v>
      </c>
      <c r="M12" s="509">
        <f>M5+F9+F14+F20</f>
        <v>5400</v>
      </c>
      <c r="N12" s="509">
        <f>N5+F10+F15+F20</f>
        <v>7800</v>
      </c>
      <c r="O12" s="36"/>
      <c r="P12" s="36"/>
      <c r="Q12" s="36"/>
      <c r="R12" s="36"/>
      <c r="S12" s="36"/>
      <c r="T12" s="36"/>
      <c r="U12" s="36"/>
      <c r="V12" s="36"/>
      <c r="W12" s="36"/>
      <c r="X12" s="36"/>
      <c r="Y12" s="36"/>
    </row>
    <row r="13" spans="1:25" x14ac:dyDescent="0.25">
      <c r="A13" s="42"/>
      <c r="B13" s="1198"/>
      <c r="C13" s="1199"/>
      <c r="D13" s="1199"/>
      <c r="E13" s="17">
        <v>42551</v>
      </c>
      <c r="F13" s="530">
        <v>2500</v>
      </c>
      <c r="G13" s="531">
        <v>900</v>
      </c>
      <c r="H13" s="47"/>
      <c r="I13" s="82"/>
      <c r="J13" s="36"/>
      <c r="K13" s="36">
        <v>2016</v>
      </c>
      <c r="L13" s="509">
        <f>L6+F17</f>
        <v>7000</v>
      </c>
      <c r="M13" s="509">
        <f>M6+F11+F18</f>
        <v>10600</v>
      </c>
      <c r="N13" s="36"/>
      <c r="O13" s="36"/>
      <c r="P13" s="36"/>
      <c r="Q13" s="36"/>
      <c r="R13" s="36"/>
      <c r="S13" s="36"/>
      <c r="T13" s="36"/>
      <c r="U13" s="36"/>
      <c r="V13" s="36"/>
      <c r="W13" s="36"/>
      <c r="X13" s="36"/>
      <c r="Y13" s="36"/>
    </row>
    <row r="14" spans="1:25" x14ac:dyDescent="0.25">
      <c r="A14" s="42"/>
      <c r="B14" s="1198"/>
      <c r="C14" s="1199"/>
      <c r="D14" s="1199"/>
      <c r="E14" s="17">
        <v>42735</v>
      </c>
      <c r="F14" s="530">
        <v>1500</v>
      </c>
      <c r="G14" s="531">
        <v>2500</v>
      </c>
      <c r="H14" s="47"/>
      <c r="I14" s="82"/>
      <c r="J14" s="36"/>
      <c r="K14" s="36">
        <v>2017</v>
      </c>
      <c r="L14" s="509">
        <f>L7+F16</f>
        <v>5000</v>
      </c>
      <c r="M14" s="36"/>
      <c r="N14" s="36"/>
      <c r="O14" s="36"/>
      <c r="P14" s="36"/>
      <c r="Q14" s="36"/>
      <c r="R14" s="36"/>
      <c r="S14" s="36"/>
      <c r="T14" s="36"/>
      <c r="U14" s="36"/>
      <c r="V14" s="36"/>
      <c r="W14" s="36"/>
      <c r="X14" s="36"/>
      <c r="Y14" s="36"/>
    </row>
    <row r="15" spans="1:25" ht="15.75" thickBot="1" x14ac:dyDescent="0.3">
      <c r="A15" s="42"/>
      <c r="B15" s="1195"/>
      <c r="C15" s="1197"/>
      <c r="D15" s="1197"/>
      <c r="E15" s="21">
        <v>43100</v>
      </c>
      <c r="F15" s="532">
        <v>2000</v>
      </c>
      <c r="G15" s="533">
        <v>4000</v>
      </c>
      <c r="H15" s="47"/>
      <c r="I15" s="82"/>
      <c r="J15" s="36"/>
      <c r="K15" s="36"/>
      <c r="L15" s="36"/>
      <c r="M15" s="36"/>
      <c r="N15" s="36"/>
      <c r="O15" s="36"/>
      <c r="P15" s="36"/>
      <c r="Q15" s="36"/>
      <c r="R15" s="36"/>
      <c r="S15" s="36"/>
      <c r="T15" s="36"/>
      <c r="U15" s="36"/>
      <c r="V15" s="36"/>
      <c r="W15" s="36"/>
      <c r="X15" s="36"/>
      <c r="Y15" s="36"/>
    </row>
    <row r="16" spans="1:25" ht="15.75" thickBot="1" x14ac:dyDescent="0.3">
      <c r="A16" s="42"/>
      <c r="B16" s="534">
        <v>4</v>
      </c>
      <c r="C16" s="535">
        <v>42826</v>
      </c>
      <c r="D16" s="535">
        <v>42826</v>
      </c>
      <c r="E16" s="536">
        <v>43100</v>
      </c>
      <c r="F16" s="537">
        <v>4500</v>
      </c>
      <c r="G16" s="538">
        <v>500</v>
      </c>
      <c r="H16" s="47"/>
      <c r="I16" s="82"/>
      <c r="J16" s="36"/>
      <c r="K16" s="36"/>
      <c r="L16" s="36"/>
      <c r="M16" s="36"/>
      <c r="N16" s="36"/>
      <c r="O16" s="36"/>
      <c r="P16" s="36"/>
      <c r="Q16" s="36"/>
      <c r="R16" s="36"/>
      <c r="S16" s="36"/>
      <c r="T16" s="36"/>
      <c r="U16" s="36"/>
      <c r="V16" s="36"/>
      <c r="W16" s="36"/>
      <c r="X16" s="36"/>
      <c r="Y16" s="36"/>
    </row>
    <row r="17" spans="1:25" x14ac:dyDescent="0.25">
      <c r="A17" s="42"/>
      <c r="B17" s="1194">
        <v>5</v>
      </c>
      <c r="C17" s="1196">
        <v>42586</v>
      </c>
      <c r="D17" s="1196">
        <v>42614</v>
      </c>
      <c r="E17" s="527">
        <v>42735</v>
      </c>
      <c r="F17" s="528">
        <v>2000</v>
      </c>
      <c r="G17" s="529">
        <v>5000</v>
      </c>
      <c r="H17" s="47"/>
      <c r="I17" s="82"/>
      <c r="J17" s="36" t="s">
        <v>52</v>
      </c>
      <c r="K17" s="36"/>
      <c r="L17" s="36" t="s">
        <v>527</v>
      </c>
      <c r="M17" s="36"/>
      <c r="N17" s="36"/>
      <c r="O17" s="36"/>
      <c r="P17" s="36"/>
      <c r="Q17" s="36"/>
      <c r="R17" s="36"/>
      <c r="S17" s="36"/>
      <c r="T17" s="36"/>
      <c r="U17" s="36"/>
      <c r="V17" s="36"/>
      <c r="W17" s="36"/>
      <c r="X17" s="36"/>
      <c r="Y17" s="36"/>
    </row>
    <row r="18" spans="1:25" ht="15.75" thickBot="1" x14ac:dyDescent="0.3">
      <c r="A18" s="42"/>
      <c r="B18" s="1195"/>
      <c r="C18" s="1197"/>
      <c r="D18" s="1197"/>
      <c r="E18" s="21">
        <v>43100</v>
      </c>
      <c r="F18" s="532">
        <v>1500</v>
      </c>
      <c r="G18" s="533">
        <v>8000</v>
      </c>
      <c r="H18" s="47"/>
      <c r="I18" s="82"/>
      <c r="J18" s="36"/>
      <c r="K18" s="36" t="s">
        <v>61</v>
      </c>
      <c r="L18" s="452" t="s">
        <v>183</v>
      </c>
      <c r="M18" s="36" t="s">
        <v>184</v>
      </c>
      <c r="N18" s="36" t="s">
        <v>528</v>
      </c>
      <c r="O18" s="36"/>
      <c r="P18" s="36"/>
      <c r="Q18" s="36"/>
      <c r="R18" s="36"/>
      <c r="S18" s="36"/>
      <c r="T18" s="36"/>
      <c r="U18" s="36"/>
      <c r="V18" s="36"/>
      <c r="W18" s="36"/>
      <c r="X18" s="36"/>
      <c r="Y18" s="36"/>
    </row>
    <row r="19" spans="1:25" x14ac:dyDescent="0.25">
      <c r="A19" s="42"/>
      <c r="B19" s="1194">
        <v>6</v>
      </c>
      <c r="C19" s="1196">
        <v>42248</v>
      </c>
      <c r="D19" s="1196">
        <v>42252</v>
      </c>
      <c r="E19" s="527">
        <v>42277</v>
      </c>
      <c r="F19" s="528">
        <v>5000</v>
      </c>
      <c r="G19" s="529">
        <v>0</v>
      </c>
      <c r="H19" s="47"/>
      <c r="I19" s="82"/>
      <c r="J19" s="36"/>
      <c r="K19" s="36">
        <v>2015</v>
      </c>
      <c r="L19" s="539">
        <f>M12/L12</f>
        <v>1.35</v>
      </c>
      <c r="M19" s="539">
        <f>N12/M12</f>
        <v>1.4444444444444444</v>
      </c>
      <c r="N19" s="36"/>
      <c r="O19" s="36"/>
      <c r="P19" s="36"/>
      <c r="Q19" s="36"/>
      <c r="R19" s="36"/>
      <c r="S19" s="36"/>
      <c r="T19" s="36"/>
      <c r="U19" s="36"/>
      <c r="V19" s="36"/>
      <c r="W19" s="36"/>
      <c r="X19" s="36"/>
      <c r="Y19" s="36"/>
    </row>
    <row r="20" spans="1:25" ht="15.75" thickBot="1" x14ac:dyDescent="0.3">
      <c r="A20" s="42"/>
      <c r="B20" s="1195"/>
      <c r="C20" s="1197"/>
      <c r="D20" s="1197"/>
      <c r="E20" s="21">
        <v>42369</v>
      </c>
      <c r="F20" s="532">
        <v>0</v>
      </c>
      <c r="G20" s="533">
        <v>100</v>
      </c>
      <c r="H20" s="47"/>
      <c r="I20" s="82"/>
      <c r="J20" s="36"/>
      <c r="K20" s="36">
        <v>2016</v>
      </c>
      <c r="L20" s="539">
        <f>M13/L13</f>
        <v>1.5142857142857142</v>
      </c>
      <c r="M20" s="539"/>
      <c r="N20" s="36"/>
      <c r="O20" s="36" t="s">
        <v>529</v>
      </c>
      <c r="P20" s="36"/>
      <c r="Q20" s="36"/>
      <c r="R20" s="36"/>
      <c r="S20" s="36"/>
      <c r="T20" s="36"/>
      <c r="U20" s="36"/>
      <c r="V20" s="36"/>
      <c r="W20" s="36"/>
      <c r="X20" s="36"/>
      <c r="Y20" s="36"/>
    </row>
    <row r="21" spans="1:25" ht="15.75" thickBot="1" x14ac:dyDescent="0.3">
      <c r="A21" s="42"/>
      <c r="B21" s="88"/>
      <c r="C21" s="39"/>
      <c r="D21" s="39"/>
      <c r="E21" s="39"/>
      <c r="F21" s="39"/>
      <c r="G21" s="46"/>
      <c r="H21" s="47"/>
      <c r="I21" s="82"/>
      <c r="J21" s="36"/>
      <c r="K21" s="36" t="s">
        <v>530</v>
      </c>
      <c r="L21" s="36">
        <f>SUM(M12:M13)/SUM(L12:L13)</f>
        <v>1.4545454545454546</v>
      </c>
      <c r="M21" s="539">
        <f>M19</f>
        <v>1.4444444444444444</v>
      </c>
      <c r="N21" s="36">
        <f>B22</f>
        <v>1.1000000000000001</v>
      </c>
      <c r="O21" s="36"/>
      <c r="P21" s="36"/>
      <c r="Q21" s="36"/>
      <c r="R21" s="36"/>
      <c r="S21" s="36"/>
      <c r="T21" s="36"/>
      <c r="U21" s="36"/>
      <c r="V21" s="36"/>
      <c r="W21" s="36"/>
      <c r="X21" s="36"/>
      <c r="Y21" s="36"/>
    </row>
    <row r="22" spans="1:25" ht="15.75" thickBot="1" x14ac:dyDescent="0.3">
      <c r="A22" s="42"/>
      <c r="B22" s="540">
        <v>1.1000000000000001</v>
      </c>
      <c r="C22" s="541" t="s">
        <v>531</v>
      </c>
      <c r="D22" s="542"/>
      <c r="E22" s="432"/>
      <c r="F22" s="39"/>
      <c r="G22" s="46"/>
      <c r="H22" s="47"/>
      <c r="I22" s="82"/>
      <c r="J22" s="36"/>
      <c r="K22" s="36"/>
      <c r="L22" s="36"/>
      <c r="M22" s="36"/>
      <c r="N22" s="36"/>
      <c r="O22" s="36"/>
      <c r="P22" s="36"/>
      <c r="Q22" s="36"/>
      <c r="R22" s="36"/>
      <c r="S22" s="36"/>
      <c r="T22" s="36"/>
      <c r="U22" s="36"/>
      <c r="V22" s="36"/>
      <c r="W22" s="36"/>
      <c r="X22" s="36"/>
      <c r="Y22" s="36"/>
    </row>
    <row r="23" spans="1:25" x14ac:dyDescent="0.25">
      <c r="A23" s="42"/>
      <c r="B23" s="88"/>
      <c r="C23" s="39"/>
      <c r="D23" s="39"/>
      <c r="E23" s="39"/>
      <c r="F23" s="39"/>
      <c r="G23" s="46"/>
      <c r="H23" s="47"/>
      <c r="I23" s="82"/>
      <c r="J23" s="36"/>
      <c r="K23" s="36" t="s">
        <v>532</v>
      </c>
      <c r="L23" s="36"/>
      <c r="M23" s="36"/>
      <c r="N23" s="543">
        <f>L14*PRODUCT(L21:N21)</f>
        <v>11555.555555555557</v>
      </c>
      <c r="O23" s="36"/>
      <c r="P23" s="36"/>
      <c r="Q23" s="36"/>
      <c r="R23" s="36"/>
      <c r="S23" s="36"/>
      <c r="T23" s="36"/>
      <c r="U23" s="36"/>
      <c r="V23" s="36"/>
      <c r="W23" s="36"/>
      <c r="X23" s="36"/>
      <c r="Y23" s="36"/>
    </row>
    <row r="24" spans="1:25" x14ac:dyDescent="0.25">
      <c r="A24" s="42">
        <v>0.75</v>
      </c>
      <c r="B24" s="39" t="s">
        <v>46</v>
      </c>
      <c r="C24" s="39"/>
      <c r="D24" s="39"/>
      <c r="E24" s="39"/>
      <c r="F24" s="39"/>
      <c r="G24" s="46"/>
      <c r="H24" s="40"/>
      <c r="I24" s="82"/>
      <c r="J24" s="36"/>
      <c r="K24" s="36"/>
      <c r="L24" s="36"/>
      <c r="M24" s="36"/>
      <c r="N24" s="36"/>
      <c r="O24" s="36"/>
      <c r="P24" s="36"/>
      <c r="Q24" s="36"/>
      <c r="R24" s="36"/>
      <c r="S24" s="36"/>
      <c r="T24" s="36"/>
      <c r="U24" s="36"/>
      <c r="V24" s="36"/>
      <c r="W24" s="36"/>
      <c r="X24" s="36"/>
      <c r="Y24" s="36"/>
    </row>
    <row r="25" spans="1:25" x14ac:dyDescent="0.25">
      <c r="A25" s="42"/>
      <c r="B25" s="133" t="s">
        <v>533</v>
      </c>
      <c r="C25" s="39"/>
      <c r="D25" s="39"/>
      <c r="E25" s="39"/>
      <c r="F25" s="39"/>
      <c r="G25" s="46"/>
      <c r="H25" s="40"/>
      <c r="I25" s="82"/>
      <c r="J25" s="36"/>
      <c r="K25" s="36"/>
      <c r="L25" s="36"/>
      <c r="M25" s="36"/>
      <c r="N25" s="36"/>
      <c r="O25" s="36"/>
      <c r="P25" s="36"/>
      <c r="Q25" s="36"/>
      <c r="R25" s="36"/>
      <c r="S25" s="36"/>
      <c r="T25" s="36"/>
      <c r="U25" s="36"/>
      <c r="V25" s="36"/>
      <c r="W25" s="36"/>
      <c r="X25" s="36"/>
      <c r="Y25" s="36"/>
    </row>
    <row r="26" spans="1:25" x14ac:dyDescent="0.25">
      <c r="A26" s="42"/>
      <c r="B26" s="133"/>
      <c r="C26" s="39"/>
      <c r="D26" s="39"/>
      <c r="E26" s="39"/>
      <c r="F26" s="39"/>
      <c r="G26" s="46"/>
      <c r="H26" s="40"/>
      <c r="I26" s="82"/>
      <c r="J26" s="36"/>
      <c r="K26" s="36"/>
      <c r="L26" s="36"/>
      <c r="M26" s="36"/>
      <c r="N26" s="36"/>
      <c r="O26" s="36"/>
      <c r="P26" s="36"/>
      <c r="Q26" s="36"/>
      <c r="R26" s="36"/>
      <c r="S26" s="36"/>
      <c r="T26" s="36"/>
      <c r="U26" s="36"/>
      <c r="V26" s="36"/>
      <c r="W26" s="36"/>
      <c r="X26" s="36"/>
      <c r="Y26" s="36"/>
    </row>
    <row r="27" spans="1:25" x14ac:dyDescent="0.25">
      <c r="A27" s="42">
        <v>0.75</v>
      </c>
      <c r="B27" s="39" t="s">
        <v>21</v>
      </c>
      <c r="C27" s="39"/>
      <c r="D27" s="39"/>
      <c r="E27" s="39"/>
      <c r="F27" s="39"/>
      <c r="G27" s="39"/>
      <c r="H27" s="40"/>
      <c r="I27" s="82"/>
      <c r="J27" s="36"/>
      <c r="K27" s="36"/>
      <c r="L27" s="36"/>
      <c r="M27" s="36"/>
      <c r="N27" s="36"/>
      <c r="O27" s="36"/>
      <c r="P27" s="36"/>
      <c r="Q27" s="36"/>
      <c r="R27" s="36"/>
      <c r="S27" s="36"/>
      <c r="T27" s="36"/>
      <c r="U27" s="36"/>
      <c r="V27" s="36"/>
      <c r="W27" s="36"/>
      <c r="X27" s="36"/>
      <c r="Y27" s="36"/>
    </row>
    <row r="28" spans="1:25" x14ac:dyDescent="0.25">
      <c r="A28" s="42"/>
      <c r="B28" s="39" t="s">
        <v>534</v>
      </c>
      <c r="C28" s="39"/>
      <c r="D28" s="39"/>
      <c r="E28" s="39"/>
      <c r="F28" s="39"/>
      <c r="G28" s="39"/>
      <c r="H28" s="40"/>
      <c r="I28" s="82"/>
      <c r="J28" s="36"/>
      <c r="K28" s="36"/>
      <c r="L28" s="36"/>
      <c r="M28" s="36"/>
      <c r="N28" s="36"/>
      <c r="O28" s="36"/>
      <c r="P28" s="36"/>
      <c r="Q28" s="36"/>
      <c r="R28" s="36"/>
      <c r="S28" s="36"/>
      <c r="T28" s="36"/>
      <c r="U28" s="36"/>
      <c r="V28" s="36"/>
      <c r="W28" s="36"/>
      <c r="X28" s="36"/>
      <c r="Y28" s="36"/>
    </row>
    <row r="29" spans="1:25" x14ac:dyDescent="0.25">
      <c r="A29" s="42"/>
      <c r="B29" s="39"/>
      <c r="C29" s="39"/>
      <c r="D29" s="39"/>
      <c r="E29" s="39"/>
      <c r="F29" s="39"/>
      <c r="G29" s="39"/>
      <c r="H29" s="40"/>
      <c r="I29" s="82"/>
      <c r="J29" s="36"/>
      <c r="K29" s="36"/>
      <c r="L29" s="36"/>
      <c r="M29" s="36"/>
      <c r="N29" s="36"/>
      <c r="O29" s="36"/>
      <c r="P29" s="36"/>
      <c r="Q29" s="36"/>
      <c r="R29" s="36"/>
      <c r="S29" s="36"/>
      <c r="T29" s="36"/>
      <c r="U29" s="36"/>
      <c r="V29" s="36"/>
      <c r="W29" s="36"/>
      <c r="X29" s="36"/>
      <c r="Y29" s="36"/>
    </row>
    <row r="30" spans="1:25" x14ac:dyDescent="0.25">
      <c r="A30" s="42">
        <v>0.75</v>
      </c>
      <c r="B30" s="39" t="s">
        <v>52</v>
      </c>
      <c r="C30" s="39"/>
      <c r="D30" s="256"/>
      <c r="E30" s="70"/>
      <c r="F30" s="70"/>
      <c r="G30" s="71"/>
      <c r="H30" s="40"/>
      <c r="I30" s="82"/>
      <c r="J30" s="36"/>
      <c r="K30" s="36"/>
      <c r="L30" s="36"/>
      <c r="M30" s="36"/>
      <c r="N30" s="36"/>
      <c r="O30" s="36"/>
      <c r="P30" s="36"/>
      <c r="Q30" s="36"/>
      <c r="R30" s="36"/>
      <c r="S30" s="36"/>
      <c r="T30" s="36"/>
      <c r="U30" s="36"/>
      <c r="V30" s="36"/>
      <c r="W30" s="36"/>
      <c r="X30" s="36"/>
      <c r="Y30" s="36"/>
    </row>
    <row r="31" spans="1:25" x14ac:dyDescent="0.25">
      <c r="A31" s="42"/>
      <c r="B31" s="133" t="s">
        <v>535</v>
      </c>
      <c r="C31" s="39"/>
      <c r="D31" s="522"/>
      <c r="E31" s="522"/>
      <c r="F31" s="522"/>
      <c r="G31" s="522"/>
      <c r="H31" s="40"/>
      <c r="I31" s="82"/>
      <c r="J31" s="36"/>
      <c r="K31" s="36"/>
      <c r="L31" s="36"/>
      <c r="M31" s="36"/>
      <c r="N31" s="36"/>
      <c r="O31" s="36"/>
      <c r="P31" s="36"/>
      <c r="Q31" s="36"/>
      <c r="R31" s="36"/>
      <c r="S31" s="36"/>
      <c r="T31" s="36"/>
      <c r="U31" s="36"/>
      <c r="V31" s="36"/>
      <c r="W31" s="36"/>
      <c r="X31" s="36"/>
      <c r="Y31" s="36"/>
    </row>
    <row r="32" spans="1:25" ht="15.75" thickBot="1" x14ac:dyDescent="0.3">
      <c r="A32" s="75"/>
      <c r="B32" s="76"/>
      <c r="C32" s="257"/>
      <c r="D32" s="258"/>
      <c r="E32" s="258"/>
      <c r="F32" s="258"/>
      <c r="G32" s="258"/>
      <c r="H32" s="259"/>
      <c r="I32" s="82"/>
      <c r="J32" s="36"/>
      <c r="K32" s="36"/>
      <c r="L32" s="36"/>
      <c r="M32" s="36"/>
      <c r="N32" s="36"/>
      <c r="O32" s="36"/>
      <c r="P32" s="36"/>
      <c r="Q32" s="36"/>
      <c r="R32" s="36"/>
      <c r="S32" s="36"/>
      <c r="T32" s="36"/>
      <c r="U32" s="36"/>
      <c r="V32" s="36"/>
      <c r="W32" s="36"/>
      <c r="X32" s="36"/>
      <c r="Y32" s="36"/>
    </row>
    <row r="33" spans="1:25" x14ac:dyDescent="0.25">
      <c r="A33" s="82"/>
      <c r="B33" s="82"/>
      <c r="C33" s="82"/>
      <c r="D33" s="82"/>
      <c r="E33" s="82"/>
      <c r="F33" s="82"/>
      <c r="G33" s="82"/>
      <c r="H33" s="82"/>
      <c r="I33" s="82"/>
      <c r="J33" s="36"/>
      <c r="K33" s="36"/>
      <c r="L33" s="36"/>
      <c r="M33" s="36"/>
      <c r="N33" s="36"/>
      <c r="O33" s="36"/>
      <c r="P33" s="36"/>
      <c r="Q33" s="36"/>
      <c r="R33" s="36"/>
      <c r="S33" s="36"/>
      <c r="T33" s="36"/>
      <c r="U33" s="36"/>
      <c r="V33" s="36"/>
      <c r="W33" s="36"/>
      <c r="X33" s="36"/>
      <c r="Y33" s="36"/>
    </row>
    <row r="34" spans="1:25" x14ac:dyDescent="0.25">
      <c r="A34" s="82"/>
      <c r="B34" s="82"/>
      <c r="C34" s="82"/>
      <c r="D34" s="82"/>
      <c r="E34" s="82"/>
      <c r="F34" s="82"/>
      <c r="G34" s="82"/>
      <c r="H34" s="82"/>
      <c r="I34" s="82"/>
      <c r="J34" s="36"/>
      <c r="K34" s="36"/>
      <c r="L34" s="36"/>
      <c r="M34" s="36"/>
      <c r="N34" s="36"/>
      <c r="O34" s="36"/>
      <c r="P34" s="36"/>
      <c r="Q34" s="36"/>
      <c r="R34" s="36"/>
      <c r="S34" s="36"/>
      <c r="T34" s="36"/>
      <c r="U34" s="36"/>
      <c r="V34" s="36"/>
      <c r="W34" s="36"/>
      <c r="X34" s="36"/>
      <c r="Y34" s="36"/>
    </row>
    <row r="35" spans="1:25" x14ac:dyDescent="0.25">
      <c r="A35" s="82"/>
      <c r="B35" s="82"/>
      <c r="C35" s="82"/>
      <c r="D35" s="82"/>
      <c r="E35" s="82"/>
      <c r="F35" s="82"/>
      <c r="G35" s="82"/>
      <c r="H35" s="82"/>
      <c r="I35" s="82"/>
      <c r="J35" s="36"/>
      <c r="K35" s="36"/>
      <c r="L35" s="36"/>
      <c r="M35" s="36"/>
      <c r="N35" s="36"/>
      <c r="O35" s="36"/>
      <c r="P35" s="36"/>
      <c r="Q35" s="36"/>
      <c r="R35" s="36"/>
      <c r="S35" s="36"/>
      <c r="T35" s="36"/>
      <c r="U35" s="36"/>
      <c r="V35" s="36"/>
      <c r="W35" s="36"/>
      <c r="X35" s="36"/>
      <c r="Y35" s="36"/>
    </row>
    <row r="36" spans="1:25" x14ac:dyDescent="0.25">
      <c r="A36" s="82"/>
      <c r="B36" s="82"/>
      <c r="C36" s="82"/>
      <c r="D36" s="82"/>
      <c r="E36" s="82"/>
      <c r="F36" s="82"/>
      <c r="G36" s="82"/>
      <c r="H36" s="82"/>
      <c r="I36" s="86"/>
      <c r="J36" s="36"/>
      <c r="K36" s="36"/>
      <c r="L36" s="36"/>
      <c r="M36" s="36"/>
      <c r="N36" s="36"/>
      <c r="O36" s="36"/>
      <c r="P36" s="36"/>
      <c r="Q36" s="36"/>
      <c r="R36" s="36"/>
      <c r="S36" s="36"/>
      <c r="T36" s="36"/>
      <c r="U36" s="36"/>
      <c r="V36" s="36"/>
      <c r="W36" s="36"/>
      <c r="X36" s="36"/>
      <c r="Y36" s="36"/>
    </row>
    <row r="37" spans="1:25" x14ac:dyDescent="0.25">
      <c r="A37" s="82"/>
      <c r="B37" s="82"/>
      <c r="C37" s="82"/>
      <c r="D37" s="82"/>
      <c r="E37" s="82"/>
      <c r="F37" s="82"/>
      <c r="G37" s="82"/>
      <c r="H37" s="82"/>
      <c r="I37" s="82"/>
      <c r="J37" s="36"/>
      <c r="K37" s="36"/>
      <c r="L37" s="36"/>
      <c r="M37" s="36"/>
      <c r="N37" s="36"/>
      <c r="O37" s="36"/>
      <c r="P37" s="36"/>
      <c r="Q37" s="36"/>
      <c r="R37" s="36"/>
      <c r="S37" s="36"/>
      <c r="T37" s="36"/>
      <c r="U37" s="36"/>
      <c r="V37" s="36"/>
      <c r="W37" s="36"/>
      <c r="X37" s="36"/>
      <c r="Y37" s="36"/>
    </row>
    <row r="38" spans="1:25" x14ac:dyDescent="0.25">
      <c r="A38" s="82"/>
      <c r="B38" s="82"/>
      <c r="C38" s="82"/>
      <c r="D38" s="82"/>
      <c r="E38" s="82"/>
      <c r="F38" s="82"/>
      <c r="G38" s="82"/>
      <c r="H38" s="82"/>
      <c r="I38" s="82"/>
      <c r="J38" s="36"/>
      <c r="K38" s="36"/>
      <c r="L38" s="36"/>
      <c r="M38" s="36"/>
      <c r="N38" s="36"/>
      <c r="O38" s="36"/>
      <c r="P38" s="36"/>
      <c r="Q38" s="36"/>
      <c r="R38" s="36"/>
      <c r="S38" s="36"/>
      <c r="T38" s="36"/>
      <c r="U38" s="36"/>
      <c r="V38" s="36"/>
      <c r="W38" s="36"/>
      <c r="X38" s="36"/>
      <c r="Y38" s="36"/>
    </row>
  </sheetData>
  <mergeCells count="16">
    <mergeCell ref="B6:B7"/>
    <mergeCell ref="C6:C7"/>
    <mergeCell ref="D6:D7"/>
    <mergeCell ref="E6:E7"/>
    <mergeCell ref="B8:B10"/>
    <mergeCell ref="C8:C10"/>
    <mergeCell ref="D8:D10"/>
    <mergeCell ref="B19:B20"/>
    <mergeCell ref="C19:C20"/>
    <mergeCell ref="D19:D20"/>
    <mergeCell ref="B12:B15"/>
    <mergeCell ref="C12:C15"/>
    <mergeCell ref="D12:D15"/>
    <mergeCell ref="B17:B18"/>
    <mergeCell ref="C17:C18"/>
    <mergeCell ref="D17:D1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P61"/>
  <sheetViews>
    <sheetView workbookViewId="0"/>
  </sheetViews>
  <sheetFormatPr defaultColWidth="9" defaultRowHeight="15" x14ac:dyDescent="0.25"/>
  <cols>
    <col min="1" max="1" width="9" style="151"/>
    <col min="2" max="2" width="11.25" style="151" customWidth="1"/>
    <col min="3" max="3" width="19.25" style="151" customWidth="1"/>
    <col min="4" max="4" width="20.25" style="151" customWidth="1"/>
    <col min="5" max="5" width="22" style="151" customWidth="1"/>
    <col min="6" max="6" width="13.75" style="151" customWidth="1"/>
    <col min="7" max="7" width="11.75" style="151" bestFit="1" customWidth="1"/>
    <col min="8" max="16384" width="9" style="151"/>
  </cols>
  <sheetData>
    <row r="1" spans="1:16" ht="15.75" thickBot="1" x14ac:dyDescent="0.3">
      <c r="A1" s="1">
        <v>15</v>
      </c>
      <c r="B1" s="2"/>
      <c r="C1" s="33"/>
      <c r="D1" s="33"/>
      <c r="E1" s="33"/>
      <c r="F1" s="33"/>
      <c r="G1" s="33"/>
      <c r="H1" s="34"/>
      <c r="I1" s="82"/>
      <c r="J1" s="36"/>
      <c r="K1" s="36"/>
      <c r="L1" s="36"/>
      <c r="M1" s="36"/>
      <c r="N1" s="36"/>
      <c r="O1" s="36"/>
      <c r="P1" s="36"/>
    </row>
    <row r="2" spans="1:16" x14ac:dyDescent="0.25">
      <c r="A2" s="38" t="s">
        <v>0</v>
      </c>
      <c r="B2" s="39"/>
      <c r="C2" s="39"/>
      <c r="D2" s="39"/>
      <c r="E2" s="39"/>
      <c r="F2" s="39"/>
      <c r="G2" s="39"/>
      <c r="H2" s="40"/>
      <c r="I2" s="82"/>
      <c r="J2" s="36"/>
      <c r="K2" s="36"/>
      <c r="L2" s="36"/>
      <c r="M2" s="36"/>
      <c r="N2" s="36"/>
      <c r="O2" s="36"/>
      <c r="P2" s="36"/>
    </row>
    <row r="3" spans="1:16" x14ac:dyDescent="0.25">
      <c r="A3" s="42">
        <v>2.25</v>
      </c>
      <c r="B3" s="39"/>
      <c r="C3" s="39"/>
      <c r="D3" s="39"/>
      <c r="E3" s="39"/>
      <c r="F3" s="39"/>
      <c r="G3" s="39"/>
      <c r="H3" s="40"/>
      <c r="I3" s="82"/>
      <c r="J3" s="36"/>
      <c r="K3" s="36"/>
      <c r="L3" s="36"/>
      <c r="M3" s="36"/>
      <c r="N3" s="36"/>
      <c r="O3" s="36"/>
      <c r="P3" s="36"/>
    </row>
    <row r="4" spans="1:16" x14ac:dyDescent="0.25">
      <c r="A4" s="42"/>
      <c r="B4" s="88" t="s">
        <v>414</v>
      </c>
      <c r="C4" s="39"/>
      <c r="D4" s="39"/>
      <c r="E4" s="39"/>
      <c r="F4" s="39"/>
      <c r="G4" s="46"/>
      <c r="H4" s="47"/>
      <c r="I4" s="82"/>
      <c r="J4" s="36"/>
      <c r="K4" s="36"/>
      <c r="L4" s="36"/>
      <c r="M4" s="36"/>
      <c r="N4" s="36"/>
      <c r="O4" s="36"/>
      <c r="P4" s="36"/>
    </row>
    <row r="5" spans="1:16" ht="15.75" thickBot="1" x14ac:dyDescent="0.3">
      <c r="A5" s="42"/>
      <c r="B5" s="88"/>
      <c r="C5" s="39"/>
      <c r="D5" s="39"/>
      <c r="E5" s="39"/>
      <c r="F5" s="39"/>
      <c r="G5" s="46"/>
      <c r="H5" s="47"/>
      <c r="I5" s="82"/>
      <c r="J5" s="36"/>
      <c r="K5" s="36"/>
      <c r="L5" s="36"/>
      <c r="M5" s="36"/>
      <c r="N5" s="36"/>
      <c r="O5" s="36"/>
      <c r="P5" s="36"/>
    </row>
    <row r="6" spans="1:16" x14ac:dyDescent="0.25">
      <c r="A6" s="42"/>
      <c r="B6" s="1200" t="s">
        <v>519</v>
      </c>
      <c r="C6" s="1202" t="s">
        <v>36</v>
      </c>
      <c r="D6" s="1202" t="s">
        <v>520</v>
      </c>
      <c r="E6" s="1204" t="s">
        <v>521</v>
      </c>
      <c r="F6" s="524" t="s">
        <v>522</v>
      </c>
      <c r="G6" s="525" t="s">
        <v>523</v>
      </c>
      <c r="H6" s="47"/>
      <c r="I6" s="82"/>
      <c r="J6" s="36"/>
      <c r="K6" s="36"/>
      <c r="L6" s="36"/>
      <c r="M6" s="36"/>
      <c r="N6" s="36"/>
      <c r="O6" s="36"/>
      <c r="P6" s="36"/>
    </row>
    <row r="7" spans="1:16" ht="15.75" thickBot="1" x14ac:dyDescent="0.3">
      <c r="A7" s="42"/>
      <c r="B7" s="1201"/>
      <c r="C7" s="1203"/>
      <c r="D7" s="1203"/>
      <c r="E7" s="1205"/>
      <c r="F7" s="526" t="s">
        <v>524</v>
      </c>
      <c r="G7" s="23" t="s">
        <v>525</v>
      </c>
      <c r="H7" s="47"/>
      <c r="I7" s="82"/>
      <c r="J7" s="36"/>
      <c r="K7" s="36"/>
      <c r="L7" s="36"/>
      <c r="M7" s="36"/>
      <c r="N7" s="36"/>
      <c r="O7" s="36"/>
      <c r="P7" s="36"/>
    </row>
    <row r="8" spans="1:16" x14ac:dyDescent="0.25">
      <c r="A8" s="42"/>
      <c r="B8" s="1206">
        <v>1</v>
      </c>
      <c r="C8" s="1196">
        <v>42005</v>
      </c>
      <c r="D8" s="1196">
        <v>42186</v>
      </c>
      <c r="E8" s="527">
        <v>42369</v>
      </c>
      <c r="F8" s="528">
        <v>500</v>
      </c>
      <c r="G8" s="529">
        <v>600</v>
      </c>
      <c r="H8" s="47"/>
      <c r="I8" s="82"/>
      <c r="J8" s="36"/>
      <c r="K8" s="36"/>
      <c r="L8" s="36"/>
      <c r="M8" s="36"/>
      <c r="N8" s="36"/>
      <c r="O8" s="36"/>
      <c r="P8" s="36"/>
    </row>
    <row r="9" spans="1:16" x14ac:dyDescent="0.25">
      <c r="A9" s="42"/>
      <c r="B9" s="1207"/>
      <c r="C9" s="1199"/>
      <c r="D9" s="1199"/>
      <c r="E9" s="17">
        <v>42735</v>
      </c>
      <c r="F9" s="530">
        <v>400</v>
      </c>
      <c r="G9" s="531">
        <v>900</v>
      </c>
      <c r="H9" s="47"/>
      <c r="I9" s="82"/>
      <c r="J9" s="36"/>
      <c r="K9" s="36"/>
      <c r="L9" s="36"/>
      <c r="M9" s="36"/>
      <c r="N9" s="36"/>
      <c r="O9" s="36"/>
      <c r="P9" s="36"/>
    </row>
    <row r="10" spans="1:16" ht="15.75" thickBot="1" x14ac:dyDescent="0.3">
      <c r="A10" s="42"/>
      <c r="B10" s="1208"/>
      <c r="C10" s="1197"/>
      <c r="D10" s="1197"/>
      <c r="E10" s="21">
        <v>43100</v>
      </c>
      <c r="F10" s="532">
        <v>200</v>
      </c>
      <c r="G10" s="533">
        <v>1500</v>
      </c>
      <c r="H10" s="47"/>
      <c r="I10" s="82"/>
      <c r="J10" s="36"/>
      <c r="K10" s="36"/>
      <c r="L10" s="36"/>
      <c r="M10" s="36"/>
      <c r="N10" s="36"/>
      <c r="O10" s="36"/>
      <c r="P10" s="36"/>
    </row>
    <row r="11" spans="1:16" ht="15.75" thickBot="1" x14ac:dyDescent="0.3">
      <c r="A11" s="42"/>
      <c r="B11" s="534">
        <v>2</v>
      </c>
      <c r="C11" s="535">
        <v>42583</v>
      </c>
      <c r="D11" s="535">
        <v>42769</v>
      </c>
      <c r="E11" s="536">
        <v>43100</v>
      </c>
      <c r="F11" s="537">
        <v>700</v>
      </c>
      <c r="G11" s="538">
        <v>400</v>
      </c>
      <c r="H11" s="47"/>
      <c r="I11" s="82"/>
      <c r="J11" s="36"/>
      <c r="K11" s="36"/>
      <c r="L11" s="36"/>
      <c r="M11" s="36"/>
      <c r="N11" s="36"/>
      <c r="O11" s="36"/>
      <c r="P11" s="36"/>
    </row>
    <row r="12" spans="1:16" x14ac:dyDescent="0.25">
      <c r="A12" s="42"/>
      <c r="B12" s="1194">
        <v>3</v>
      </c>
      <c r="C12" s="1196">
        <v>42140</v>
      </c>
      <c r="D12" s="1196">
        <v>42277</v>
      </c>
      <c r="E12" s="527">
        <v>42369</v>
      </c>
      <c r="F12" s="528">
        <v>2500</v>
      </c>
      <c r="G12" s="529">
        <v>300</v>
      </c>
      <c r="H12" s="47"/>
      <c r="I12" s="82"/>
      <c r="J12" s="36"/>
      <c r="K12" s="36"/>
      <c r="L12" s="36"/>
      <c r="M12" s="36"/>
      <c r="N12" s="36"/>
      <c r="O12" s="36"/>
      <c r="P12" s="36"/>
    </row>
    <row r="13" spans="1:16" x14ac:dyDescent="0.25">
      <c r="A13" s="42"/>
      <c r="B13" s="1198"/>
      <c r="C13" s="1199"/>
      <c r="D13" s="1199"/>
      <c r="E13" s="17">
        <v>42551</v>
      </c>
      <c r="F13" s="530">
        <v>2500</v>
      </c>
      <c r="G13" s="531">
        <v>900</v>
      </c>
      <c r="H13" s="47"/>
      <c r="I13" s="82"/>
      <c r="J13" s="36"/>
      <c r="K13" s="36"/>
      <c r="L13" s="36"/>
      <c r="M13" s="36"/>
      <c r="N13" s="36"/>
      <c r="O13" s="36"/>
      <c r="P13" s="36"/>
    </row>
    <row r="14" spans="1:16" x14ac:dyDescent="0.25">
      <c r="A14" s="42"/>
      <c r="B14" s="1198"/>
      <c r="C14" s="1199"/>
      <c r="D14" s="1199"/>
      <c r="E14" s="17">
        <v>42735</v>
      </c>
      <c r="F14" s="530">
        <v>1500</v>
      </c>
      <c r="G14" s="531">
        <v>2500</v>
      </c>
      <c r="H14" s="47"/>
      <c r="I14" s="82"/>
      <c r="J14" s="36"/>
      <c r="K14" s="36"/>
      <c r="L14" s="36"/>
      <c r="M14" s="36"/>
      <c r="N14" s="36"/>
      <c r="O14" s="36"/>
      <c r="P14" s="36"/>
    </row>
    <row r="15" spans="1:16" ht="15.75" thickBot="1" x14ac:dyDescent="0.3">
      <c r="A15" s="42"/>
      <c r="B15" s="1195"/>
      <c r="C15" s="1197"/>
      <c r="D15" s="1197"/>
      <c r="E15" s="21">
        <v>43100</v>
      </c>
      <c r="F15" s="532">
        <v>2000</v>
      </c>
      <c r="G15" s="533">
        <v>4000</v>
      </c>
      <c r="H15" s="47"/>
      <c r="I15" s="82"/>
      <c r="J15" s="36"/>
      <c r="K15" s="36"/>
      <c r="L15" s="36"/>
      <c r="M15" s="36"/>
      <c r="N15" s="36"/>
      <c r="O15" s="36"/>
      <c r="P15" s="36"/>
    </row>
    <row r="16" spans="1:16" ht="15.75" thickBot="1" x14ac:dyDescent="0.3">
      <c r="A16" s="42"/>
      <c r="B16" s="534">
        <v>4</v>
      </c>
      <c r="C16" s="535">
        <v>42826</v>
      </c>
      <c r="D16" s="535">
        <v>42826</v>
      </c>
      <c r="E16" s="536">
        <v>43100</v>
      </c>
      <c r="F16" s="537">
        <v>4500</v>
      </c>
      <c r="G16" s="538">
        <v>500</v>
      </c>
      <c r="H16" s="47"/>
      <c r="I16" s="82"/>
      <c r="J16" s="36"/>
      <c r="K16" s="36"/>
      <c r="L16" s="36"/>
      <c r="M16" s="36"/>
      <c r="N16" s="36"/>
      <c r="O16" s="36"/>
      <c r="P16" s="36"/>
    </row>
    <row r="17" spans="1:16" x14ac:dyDescent="0.25">
      <c r="A17" s="42"/>
      <c r="B17" s="1194">
        <v>5</v>
      </c>
      <c r="C17" s="1196">
        <v>42586</v>
      </c>
      <c r="D17" s="1196">
        <v>42614</v>
      </c>
      <c r="E17" s="527">
        <v>42735</v>
      </c>
      <c r="F17" s="528">
        <v>2000</v>
      </c>
      <c r="G17" s="529">
        <v>5000</v>
      </c>
      <c r="H17" s="47"/>
      <c r="I17" s="82"/>
      <c r="J17" s="36"/>
      <c r="K17" s="36"/>
      <c r="L17" s="36"/>
      <c r="M17" s="36"/>
      <c r="N17" s="36"/>
      <c r="O17" s="36"/>
      <c r="P17" s="36"/>
    </row>
    <row r="18" spans="1:16" ht="15.75" thickBot="1" x14ac:dyDescent="0.3">
      <c r="A18" s="42"/>
      <c r="B18" s="1195"/>
      <c r="C18" s="1197"/>
      <c r="D18" s="1197"/>
      <c r="E18" s="21">
        <v>43100</v>
      </c>
      <c r="F18" s="532">
        <v>1500</v>
      </c>
      <c r="G18" s="533">
        <v>8000</v>
      </c>
      <c r="H18" s="47"/>
      <c r="I18" s="82"/>
      <c r="J18" s="36"/>
      <c r="K18" s="36"/>
      <c r="L18" s="36"/>
      <c r="M18" s="36"/>
      <c r="N18" s="36"/>
      <c r="O18" s="36"/>
      <c r="P18" s="36"/>
    </row>
    <row r="19" spans="1:16" x14ac:dyDescent="0.25">
      <c r="A19" s="42"/>
      <c r="B19" s="1194">
        <v>6</v>
      </c>
      <c r="C19" s="1196">
        <v>42248</v>
      </c>
      <c r="D19" s="1196">
        <v>42252</v>
      </c>
      <c r="E19" s="527">
        <v>42277</v>
      </c>
      <c r="F19" s="528">
        <v>5000</v>
      </c>
      <c r="G19" s="529">
        <v>0</v>
      </c>
      <c r="H19" s="47"/>
      <c r="I19" s="82"/>
      <c r="J19" s="36"/>
      <c r="K19" s="36"/>
      <c r="L19" s="36"/>
      <c r="M19" s="36"/>
      <c r="N19" s="36"/>
      <c r="O19" s="36"/>
      <c r="P19" s="36"/>
    </row>
    <row r="20" spans="1:16" ht="15.75" thickBot="1" x14ac:dyDescent="0.3">
      <c r="A20" s="42"/>
      <c r="B20" s="1195"/>
      <c r="C20" s="1197"/>
      <c r="D20" s="1197"/>
      <c r="E20" s="21">
        <v>42369</v>
      </c>
      <c r="F20" s="532">
        <v>0</v>
      </c>
      <c r="G20" s="533">
        <v>100</v>
      </c>
      <c r="H20" s="47"/>
      <c r="I20" s="82"/>
      <c r="J20" s="36"/>
      <c r="K20" s="36"/>
      <c r="L20" s="36"/>
      <c r="M20" s="36"/>
      <c r="N20" s="36"/>
      <c r="O20" s="36"/>
      <c r="P20" s="36"/>
    </row>
    <row r="21" spans="1:16" ht="15.75" thickBot="1" x14ac:dyDescent="0.3">
      <c r="A21" s="42"/>
      <c r="B21" s="88"/>
      <c r="C21" s="39"/>
      <c r="D21" s="39"/>
      <c r="E21" s="39"/>
      <c r="F21" s="39"/>
      <c r="G21" s="46"/>
      <c r="H21" s="47"/>
      <c r="I21" s="82"/>
      <c r="J21" s="36"/>
      <c r="K21" s="36"/>
      <c r="L21" s="36"/>
      <c r="M21" s="36"/>
      <c r="N21" s="36"/>
      <c r="O21" s="36"/>
      <c r="P21" s="36"/>
    </row>
    <row r="22" spans="1:16" ht="15.75" thickBot="1" x14ac:dyDescent="0.3">
      <c r="A22" s="42"/>
      <c r="B22" s="540">
        <v>1.1000000000000001</v>
      </c>
      <c r="C22" s="541" t="s">
        <v>531</v>
      </c>
      <c r="D22" s="542"/>
      <c r="E22" s="432"/>
      <c r="F22" s="39"/>
      <c r="G22" s="46"/>
      <c r="H22" s="47"/>
      <c r="I22" s="82"/>
      <c r="J22" s="36"/>
      <c r="K22" s="36"/>
      <c r="L22" s="36"/>
      <c r="M22" s="36"/>
      <c r="N22" s="36"/>
      <c r="O22" s="36"/>
      <c r="P22" s="36"/>
    </row>
    <row r="23" spans="1:16" x14ac:dyDescent="0.25">
      <c r="A23" s="42"/>
      <c r="B23" s="88"/>
      <c r="C23" s="39"/>
      <c r="D23" s="39"/>
      <c r="E23" s="39"/>
      <c r="F23" s="39"/>
      <c r="G23" s="46"/>
      <c r="H23" s="47"/>
      <c r="I23" s="82"/>
      <c r="J23" s="36"/>
      <c r="K23" s="36"/>
      <c r="L23" s="36"/>
      <c r="M23" s="36"/>
      <c r="N23" s="36"/>
      <c r="O23" s="36"/>
      <c r="P23" s="36"/>
    </row>
    <row r="24" spans="1:16" x14ac:dyDescent="0.25">
      <c r="A24" s="42">
        <v>0.75</v>
      </c>
      <c r="B24" s="39" t="s">
        <v>46</v>
      </c>
      <c r="C24" s="39"/>
      <c r="D24" s="39"/>
      <c r="E24" s="39"/>
      <c r="F24" s="39"/>
      <c r="G24" s="46"/>
      <c r="H24" s="40"/>
      <c r="I24" s="82"/>
      <c r="J24" s="36"/>
      <c r="K24" s="36"/>
      <c r="L24" s="36"/>
      <c r="M24" s="36"/>
      <c r="N24" s="36"/>
      <c r="O24" s="36"/>
      <c r="P24" s="36"/>
    </row>
    <row r="25" spans="1:16" x14ac:dyDescent="0.25">
      <c r="A25" s="42"/>
      <c r="B25" s="133" t="s">
        <v>533</v>
      </c>
      <c r="C25" s="39"/>
      <c r="D25" s="39"/>
      <c r="E25" s="39"/>
      <c r="F25" s="39"/>
      <c r="G25" s="46"/>
      <c r="H25" s="40"/>
      <c r="I25" s="82"/>
      <c r="J25" s="36"/>
      <c r="K25" s="36"/>
      <c r="L25" s="36"/>
      <c r="M25" s="36"/>
      <c r="N25" s="36"/>
      <c r="O25" s="36"/>
      <c r="P25" s="36"/>
    </row>
    <row r="26" spans="1:16" x14ac:dyDescent="0.25">
      <c r="A26" s="42"/>
      <c r="B26" s="133"/>
      <c r="C26" s="39"/>
      <c r="D26" s="39"/>
      <c r="E26" s="39"/>
      <c r="F26" s="39"/>
      <c r="G26" s="46"/>
      <c r="H26" s="40"/>
      <c r="I26" s="82"/>
      <c r="J26" s="36"/>
      <c r="K26" s="36"/>
      <c r="L26" s="36"/>
      <c r="M26" s="36"/>
      <c r="N26" s="36"/>
      <c r="O26" s="36"/>
      <c r="P26" s="36"/>
    </row>
    <row r="27" spans="1:16" x14ac:dyDescent="0.25">
      <c r="A27" s="42">
        <v>0.75</v>
      </c>
      <c r="B27" s="39" t="s">
        <v>21</v>
      </c>
      <c r="C27" s="39"/>
      <c r="D27" s="39"/>
      <c r="E27" s="39"/>
      <c r="F27" s="39"/>
      <c r="G27" s="39"/>
      <c r="H27" s="40"/>
      <c r="I27" s="82"/>
      <c r="J27" s="36"/>
      <c r="K27" s="36"/>
      <c r="L27" s="36"/>
      <c r="M27" s="36"/>
      <c r="N27" s="36"/>
      <c r="O27" s="36"/>
      <c r="P27" s="36"/>
    </row>
    <row r="28" spans="1:16" x14ac:dyDescent="0.25">
      <c r="A28" s="42"/>
      <c r="B28" s="39" t="s">
        <v>534</v>
      </c>
      <c r="C28" s="39"/>
      <c r="D28" s="39"/>
      <c r="E28" s="39"/>
      <c r="F28" s="39"/>
      <c r="G28" s="39"/>
      <c r="H28" s="40"/>
      <c r="I28" s="82"/>
      <c r="J28" s="36"/>
      <c r="K28" s="36"/>
      <c r="L28" s="36"/>
      <c r="M28" s="36"/>
      <c r="N28" s="36"/>
      <c r="O28" s="36"/>
      <c r="P28" s="36"/>
    </row>
    <row r="29" spans="1:16" x14ac:dyDescent="0.25">
      <c r="A29" s="42"/>
      <c r="B29" s="39"/>
      <c r="C29" s="39"/>
      <c r="D29" s="39"/>
      <c r="E29" s="39"/>
      <c r="F29" s="39"/>
      <c r="G29" s="39"/>
      <c r="H29" s="40"/>
      <c r="I29" s="82"/>
      <c r="J29" s="36"/>
      <c r="K29" s="36"/>
      <c r="L29" s="36"/>
      <c r="M29" s="36"/>
      <c r="N29" s="36"/>
      <c r="O29" s="36"/>
      <c r="P29" s="36"/>
    </row>
    <row r="30" spans="1:16" x14ac:dyDescent="0.25">
      <c r="A30" s="42">
        <v>0.75</v>
      </c>
      <c r="B30" s="39" t="s">
        <v>52</v>
      </c>
      <c r="C30" s="39"/>
      <c r="D30" s="256"/>
      <c r="E30" s="70"/>
      <c r="F30" s="70"/>
      <c r="G30" s="71"/>
      <c r="H30" s="40"/>
      <c r="I30" s="82"/>
      <c r="J30" s="36"/>
      <c r="K30" s="36"/>
      <c r="L30" s="36"/>
      <c r="M30" s="36"/>
      <c r="N30" s="36"/>
      <c r="O30" s="36"/>
      <c r="P30" s="36"/>
    </row>
    <row r="31" spans="1:16" x14ac:dyDescent="0.25">
      <c r="A31" s="42"/>
      <c r="B31" s="133" t="s">
        <v>535</v>
      </c>
      <c r="C31" s="39"/>
      <c r="D31" s="522"/>
      <c r="E31" s="522"/>
      <c r="F31" s="522"/>
      <c r="G31" s="522"/>
      <c r="H31" s="40"/>
      <c r="I31" s="82"/>
      <c r="J31" s="36"/>
      <c r="K31" s="36"/>
      <c r="L31" s="36"/>
      <c r="M31" s="36"/>
      <c r="N31" s="36"/>
      <c r="O31" s="36"/>
      <c r="P31" s="36"/>
    </row>
    <row r="32" spans="1:16" ht="15.75" thickBot="1" x14ac:dyDescent="0.3">
      <c r="A32" s="75"/>
      <c r="B32" s="76"/>
      <c r="C32" s="257"/>
      <c r="D32" s="258"/>
      <c r="E32" s="258"/>
      <c r="F32" s="258"/>
      <c r="G32" s="258"/>
      <c r="H32" s="259"/>
      <c r="I32" s="82"/>
      <c r="J32" s="36"/>
      <c r="K32" s="36"/>
      <c r="L32" s="36"/>
      <c r="M32" s="36"/>
      <c r="N32" s="36"/>
      <c r="O32" s="36"/>
      <c r="P32" s="36"/>
    </row>
    <row r="33" spans="1:16" x14ac:dyDescent="0.25">
      <c r="A33" s="82"/>
      <c r="B33" s="82"/>
      <c r="C33" s="82"/>
      <c r="D33" s="82"/>
      <c r="E33" s="82"/>
      <c r="F33" s="82"/>
      <c r="G33" s="82"/>
      <c r="H33" s="82"/>
      <c r="I33" s="82"/>
      <c r="J33" s="36"/>
      <c r="K33" s="36"/>
      <c r="L33" s="36"/>
      <c r="M33" s="36"/>
      <c r="N33" s="36"/>
      <c r="O33" s="36"/>
      <c r="P33" s="36"/>
    </row>
    <row r="34" spans="1:16" x14ac:dyDescent="0.25">
      <c r="A34" s="82"/>
      <c r="B34" s="82" t="s">
        <v>19</v>
      </c>
      <c r="C34" s="82" t="s">
        <v>536</v>
      </c>
      <c r="D34" s="82"/>
      <c r="E34" s="82"/>
      <c r="F34" s="82"/>
      <c r="G34" s="82"/>
      <c r="H34" s="82"/>
      <c r="I34" s="82"/>
      <c r="J34" s="36"/>
      <c r="K34" s="36"/>
      <c r="L34" s="36"/>
      <c r="M34" s="36"/>
      <c r="N34" s="36"/>
      <c r="O34" s="36"/>
      <c r="P34" s="36"/>
    </row>
    <row r="35" spans="1:16" x14ac:dyDescent="0.25">
      <c r="A35" s="82"/>
      <c r="B35" s="82"/>
      <c r="C35" s="82" t="s">
        <v>537</v>
      </c>
      <c r="D35" s="82"/>
      <c r="E35" s="82"/>
      <c r="F35" s="82"/>
      <c r="G35" s="82"/>
      <c r="H35" s="82"/>
      <c r="I35" s="82"/>
      <c r="J35" s="36"/>
      <c r="K35" s="36"/>
      <c r="L35" s="36"/>
      <c r="M35" s="36"/>
      <c r="N35" s="36"/>
      <c r="O35" s="36"/>
      <c r="P35" s="36"/>
    </row>
    <row r="36" spans="1:16" x14ac:dyDescent="0.25">
      <c r="A36" s="82"/>
      <c r="B36" s="82" t="s">
        <v>61</v>
      </c>
      <c r="C36" s="82">
        <v>12</v>
      </c>
      <c r="D36" s="82">
        <v>24</v>
      </c>
      <c r="E36" s="82">
        <v>36</v>
      </c>
      <c r="F36" s="82"/>
      <c r="G36" s="82"/>
      <c r="H36" s="82"/>
      <c r="I36" s="86"/>
      <c r="J36" s="36"/>
      <c r="K36" s="36"/>
      <c r="L36" s="36"/>
      <c r="M36" s="36"/>
      <c r="N36" s="36"/>
      <c r="O36" s="36"/>
      <c r="P36" s="36"/>
    </row>
    <row r="37" spans="1:16" x14ac:dyDescent="0.25">
      <c r="A37" s="82"/>
      <c r="B37" s="82">
        <v>2015</v>
      </c>
      <c r="C37" s="544">
        <f>G8+G12+G20</f>
        <v>1000</v>
      </c>
      <c r="D37" s="544">
        <f>G9+G14+G20</f>
        <v>3500</v>
      </c>
      <c r="E37" s="544">
        <f>G10+G15+G20</f>
        <v>5600</v>
      </c>
      <c r="F37" s="82"/>
      <c r="G37" s="82"/>
      <c r="H37" s="82"/>
      <c r="I37" s="82"/>
      <c r="J37" s="36"/>
      <c r="K37" s="36"/>
      <c r="L37" s="36"/>
      <c r="M37" s="36"/>
      <c r="N37" s="36"/>
      <c r="O37" s="36"/>
      <c r="P37" s="36"/>
    </row>
    <row r="38" spans="1:16" x14ac:dyDescent="0.25">
      <c r="A38" s="82"/>
      <c r="B38" s="82">
        <v>2016</v>
      </c>
      <c r="C38" s="544">
        <f>G17</f>
        <v>5000</v>
      </c>
      <c r="D38" s="544">
        <f>G11+G18</f>
        <v>8400</v>
      </c>
      <c r="E38" s="82"/>
      <c r="F38" s="82"/>
      <c r="G38" s="82"/>
      <c r="H38" s="82"/>
      <c r="I38" s="82"/>
      <c r="J38" s="36"/>
      <c r="K38" s="36"/>
      <c r="L38" s="36"/>
      <c r="M38" s="36"/>
      <c r="N38" s="36"/>
      <c r="O38" s="36"/>
      <c r="P38" s="36"/>
    </row>
    <row r="39" spans="1:16" x14ac:dyDescent="0.25">
      <c r="A39" s="82"/>
      <c r="B39" s="82">
        <v>2017</v>
      </c>
      <c r="C39" s="544">
        <f>G16</f>
        <v>500</v>
      </c>
      <c r="D39" s="82"/>
      <c r="E39" s="82"/>
      <c r="F39" s="82"/>
      <c r="G39" s="82"/>
      <c r="H39" s="82"/>
      <c r="I39" s="82"/>
      <c r="J39" s="36"/>
      <c r="K39" s="36"/>
      <c r="L39" s="36"/>
      <c r="M39" s="36"/>
      <c r="N39" s="36"/>
      <c r="O39" s="36"/>
      <c r="P39" s="36"/>
    </row>
    <row r="40" spans="1:16" x14ac:dyDescent="0.25">
      <c r="A40" s="82"/>
      <c r="B40" s="82"/>
      <c r="C40" s="82"/>
      <c r="D40" s="82"/>
      <c r="E40" s="82"/>
      <c r="F40" s="82"/>
      <c r="G40" s="82"/>
      <c r="H40" s="82"/>
      <c r="I40" s="82"/>
      <c r="J40" s="36"/>
      <c r="K40" s="36"/>
      <c r="L40" s="36"/>
      <c r="M40" s="36"/>
      <c r="N40" s="36"/>
      <c r="O40" s="36"/>
      <c r="P40" s="36"/>
    </row>
    <row r="41" spans="1:16" x14ac:dyDescent="0.25">
      <c r="A41" s="82"/>
      <c r="B41" s="82" t="s">
        <v>21</v>
      </c>
      <c r="C41" s="82" t="s">
        <v>538</v>
      </c>
      <c r="D41" s="82"/>
      <c r="E41" s="82"/>
      <c r="F41" s="82"/>
      <c r="G41" s="82"/>
      <c r="H41" s="82"/>
      <c r="I41" s="82"/>
      <c r="J41" s="36"/>
      <c r="K41" s="36"/>
      <c r="L41" s="36"/>
      <c r="M41" s="36"/>
      <c r="N41" s="36"/>
      <c r="O41" s="36"/>
      <c r="P41" s="36"/>
    </row>
    <row r="42" spans="1:16" x14ac:dyDescent="0.25">
      <c r="A42" s="82"/>
      <c r="B42" s="82"/>
      <c r="C42" s="82" t="s">
        <v>537</v>
      </c>
      <c r="D42" s="82"/>
      <c r="E42" s="82"/>
      <c r="F42" s="82"/>
      <c r="G42" s="82"/>
      <c r="H42" s="82"/>
      <c r="I42" s="82"/>
      <c r="J42" s="36"/>
      <c r="K42" s="36"/>
      <c r="L42" s="36"/>
      <c r="M42" s="36"/>
      <c r="N42" s="36"/>
      <c r="O42" s="36"/>
      <c r="P42" s="36"/>
    </row>
    <row r="43" spans="1:16" x14ac:dyDescent="0.25">
      <c r="A43" s="82"/>
      <c r="B43" s="82" t="s">
        <v>61</v>
      </c>
      <c r="C43" s="82">
        <v>12</v>
      </c>
      <c r="D43" s="82">
        <v>24</v>
      </c>
      <c r="E43" s="82">
        <v>36</v>
      </c>
      <c r="F43" s="82"/>
      <c r="G43" s="82"/>
      <c r="H43" s="82"/>
      <c r="I43" s="82"/>
      <c r="J43" s="36"/>
      <c r="K43" s="36"/>
      <c r="L43" s="36"/>
      <c r="M43" s="36"/>
      <c r="N43" s="36"/>
      <c r="O43" s="36"/>
      <c r="P43" s="36"/>
    </row>
    <row r="44" spans="1:16" x14ac:dyDescent="0.25">
      <c r="A44" s="82"/>
      <c r="B44" s="82">
        <v>2015</v>
      </c>
      <c r="C44" s="544">
        <f>F8+G8+F12+G12+F20+G20</f>
        <v>4000</v>
      </c>
      <c r="D44" s="544">
        <f>F9+G9+F14+G14+F20+G20</f>
        <v>5400</v>
      </c>
      <c r="E44" s="544">
        <f>F10+G10+F15+G15+F20+G20</f>
        <v>7800</v>
      </c>
      <c r="F44" s="82"/>
      <c r="G44" s="82"/>
      <c r="H44" s="82"/>
      <c r="I44" s="82"/>
      <c r="J44" s="36"/>
      <c r="K44" s="36"/>
      <c r="L44" s="36"/>
      <c r="M44" s="36"/>
      <c r="N44" s="36"/>
      <c r="O44" s="36"/>
      <c r="P44" s="36"/>
    </row>
    <row r="45" spans="1:16" x14ac:dyDescent="0.25">
      <c r="A45" s="545"/>
      <c r="B45" s="82">
        <v>2016</v>
      </c>
      <c r="C45" s="544">
        <f>F17+G17</f>
        <v>7000</v>
      </c>
      <c r="D45" s="544">
        <f>F11+G11+F18+G18</f>
        <v>10600</v>
      </c>
      <c r="E45" s="82"/>
      <c r="F45" s="545"/>
      <c r="G45" s="545"/>
      <c r="H45" s="545"/>
      <c r="I45" s="82"/>
      <c r="J45" s="36"/>
      <c r="K45" s="36"/>
      <c r="L45" s="36"/>
      <c r="M45" s="36"/>
      <c r="N45" s="36"/>
      <c r="O45" s="36"/>
      <c r="P45" s="36"/>
    </row>
    <row r="46" spans="1:16" x14ac:dyDescent="0.25">
      <c r="A46" s="546"/>
      <c r="B46" s="82">
        <v>2017</v>
      </c>
      <c r="C46" s="544">
        <f>F16+G16</f>
        <v>5000</v>
      </c>
      <c r="D46" s="82"/>
      <c r="E46" s="82"/>
      <c r="F46" s="546"/>
      <c r="G46" s="547"/>
      <c r="H46" s="546"/>
      <c r="I46" s="82"/>
      <c r="J46" s="36"/>
      <c r="K46" s="36"/>
      <c r="L46" s="36"/>
      <c r="M46" s="36"/>
      <c r="N46" s="36"/>
      <c r="O46" s="36"/>
      <c r="P46" s="36"/>
    </row>
    <row r="47" spans="1:16" x14ac:dyDescent="0.25">
      <c r="A47" s="82"/>
      <c r="B47" s="82"/>
      <c r="C47" s="82"/>
      <c r="D47" s="82"/>
      <c r="E47" s="82"/>
      <c r="F47" s="82"/>
      <c r="G47" s="82"/>
      <c r="H47" s="82"/>
      <c r="I47" s="82"/>
      <c r="J47" s="36"/>
      <c r="K47" s="36"/>
      <c r="L47" s="36"/>
      <c r="M47" s="36"/>
      <c r="N47" s="36"/>
      <c r="O47" s="36"/>
      <c r="P47" s="36"/>
    </row>
    <row r="48" spans="1:16" x14ac:dyDescent="0.25">
      <c r="A48" s="82"/>
      <c r="B48" s="82"/>
      <c r="C48" s="82"/>
      <c r="D48" s="82"/>
      <c r="E48" s="82"/>
      <c r="F48" s="82"/>
      <c r="G48" s="82"/>
      <c r="H48" s="82"/>
      <c r="I48" s="82"/>
      <c r="J48" s="36"/>
      <c r="K48" s="36"/>
      <c r="L48" s="36"/>
      <c r="M48" s="36"/>
      <c r="N48" s="36"/>
      <c r="O48" s="36"/>
      <c r="P48" s="36"/>
    </row>
    <row r="49" spans="1:16" x14ac:dyDescent="0.25">
      <c r="A49" s="82"/>
      <c r="B49" s="82" t="s">
        <v>52</v>
      </c>
      <c r="C49" s="82"/>
      <c r="D49" s="82"/>
      <c r="E49" s="82"/>
      <c r="F49" s="82"/>
      <c r="G49" s="82"/>
      <c r="H49" s="82"/>
      <c r="I49" s="82"/>
      <c r="J49" s="36"/>
      <c r="K49" s="36"/>
      <c r="L49" s="36"/>
      <c r="M49" s="36"/>
      <c r="N49" s="36"/>
      <c r="O49" s="36"/>
      <c r="P49" s="36"/>
    </row>
    <row r="50" spans="1:16" x14ac:dyDescent="0.25">
      <c r="A50" s="82"/>
      <c r="B50" s="82" t="s">
        <v>61</v>
      </c>
      <c r="C50" s="548" t="s">
        <v>183</v>
      </c>
      <c r="D50" s="548" t="s">
        <v>184</v>
      </c>
      <c r="E50" s="82"/>
      <c r="F50" s="82"/>
      <c r="G50" s="82"/>
      <c r="H50" s="82"/>
      <c r="I50" s="82"/>
      <c r="J50" s="36"/>
      <c r="K50" s="36"/>
      <c r="L50" s="36"/>
      <c r="M50" s="36"/>
      <c r="N50" s="36"/>
      <c r="O50" s="36"/>
      <c r="P50" s="36"/>
    </row>
    <row r="51" spans="1:16" x14ac:dyDescent="0.25">
      <c r="A51" s="82"/>
      <c r="B51" s="82">
        <v>2015</v>
      </c>
      <c r="C51" s="82">
        <f>D44/C44:C44</f>
        <v>1.35</v>
      </c>
      <c r="D51" s="82">
        <f>E44/D44:D44</f>
        <v>1.4444444444444444</v>
      </c>
      <c r="E51" s="82"/>
      <c r="F51" s="82"/>
      <c r="G51" s="82"/>
      <c r="H51" s="82"/>
      <c r="I51" s="82"/>
      <c r="J51" s="36"/>
      <c r="K51" s="36"/>
      <c r="L51" s="36"/>
      <c r="M51" s="36"/>
      <c r="N51" s="36"/>
      <c r="O51" s="36"/>
      <c r="P51" s="36"/>
    </row>
    <row r="52" spans="1:16" x14ac:dyDescent="0.25">
      <c r="A52" s="82"/>
      <c r="B52" s="82">
        <v>2016</v>
      </c>
      <c r="C52" s="82">
        <f>D45/C45:C45</f>
        <v>1.5142857142857142</v>
      </c>
      <c r="D52" s="82"/>
      <c r="E52" s="82"/>
      <c r="F52" s="82"/>
      <c r="G52" s="82"/>
      <c r="H52" s="82"/>
      <c r="I52" s="82"/>
      <c r="J52" s="36"/>
      <c r="K52" s="36"/>
      <c r="L52" s="36"/>
      <c r="M52" s="36"/>
      <c r="N52" s="36"/>
      <c r="O52" s="36"/>
      <c r="P52" s="36"/>
    </row>
    <row r="53" spans="1:16" x14ac:dyDescent="0.25">
      <c r="A53" s="82"/>
      <c r="B53" s="82">
        <v>2017</v>
      </c>
      <c r="C53" s="82"/>
      <c r="D53" s="82"/>
      <c r="E53" s="82"/>
      <c r="F53" s="82"/>
      <c r="G53" s="82"/>
      <c r="H53" s="82"/>
      <c r="I53" s="82"/>
      <c r="J53" s="36"/>
      <c r="K53" s="36"/>
      <c r="L53" s="36"/>
      <c r="M53" s="36"/>
      <c r="N53" s="36"/>
      <c r="O53" s="36"/>
      <c r="P53" s="36"/>
    </row>
    <row r="54" spans="1:16" x14ac:dyDescent="0.25">
      <c r="A54" s="82"/>
      <c r="B54" s="82" t="s">
        <v>539</v>
      </c>
      <c r="C54" s="82">
        <f>AVERAGE(C51:C53)</f>
        <v>1.4321428571428572</v>
      </c>
      <c r="D54" s="82">
        <f>AVERAGE(D51:D53)</f>
        <v>1.4444444444444444</v>
      </c>
      <c r="E54" s="82">
        <f>B22</f>
        <v>1.1000000000000001</v>
      </c>
      <c r="F54" s="82"/>
      <c r="G54" s="82"/>
      <c r="H54" s="82"/>
      <c r="I54" s="82"/>
      <c r="J54" s="36"/>
      <c r="K54" s="36"/>
      <c r="L54" s="36"/>
      <c r="M54" s="36"/>
      <c r="N54" s="36"/>
      <c r="O54" s="36"/>
      <c r="P54" s="36"/>
    </row>
    <row r="55" spans="1:16" x14ac:dyDescent="0.25">
      <c r="A55" s="82"/>
      <c r="B55" s="82" t="s">
        <v>540</v>
      </c>
      <c r="C55" s="82">
        <f>C54*D55</f>
        <v>2.2755158730158733</v>
      </c>
      <c r="D55" s="82">
        <f t="shared" ref="D55" si="0">D54*E55</f>
        <v>1.588888888888889</v>
      </c>
      <c r="E55" s="82">
        <f>E54</f>
        <v>1.1000000000000001</v>
      </c>
      <c r="F55" s="82"/>
      <c r="G55" s="82"/>
      <c r="H55" s="82"/>
      <c r="I55" s="82"/>
      <c r="J55" s="36"/>
      <c r="K55" s="36"/>
      <c r="L55" s="36"/>
      <c r="M55" s="36"/>
      <c r="N55" s="36"/>
      <c r="O55" s="36"/>
      <c r="P55" s="36"/>
    </row>
    <row r="56" spans="1:16" x14ac:dyDescent="0.25">
      <c r="A56" s="82"/>
      <c r="B56" s="82"/>
      <c r="C56" s="82" t="s">
        <v>541</v>
      </c>
      <c r="D56" s="82"/>
      <c r="E56" s="82"/>
      <c r="F56" s="82"/>
      <c r="G56" s="82"/>
      <c r="H56" s="82"/>
      <c r="I56" s="82"/>
      <c r="J56" s="36"/>
      <c r="K56" s="36"/>
      <c r="L56" s="36"/>
      <c r="M56" s="36"/>
      <c r="N56" s="36"/>
      <c r="O56" s="36"/>
      <c r="P56" s="36"/>
    </row>
    <row r="57" spans="1:16" x14ac:dyDescent="0.25">
      <c r="A57" s="82"/>
      <c r="B57" s="82"/>
      <c r="C57" s="82"/>
      <c r="D57" s="82"/>
      <c r="E57" s="82"/>
      <c r="F57" s="82"/>
      <c r="G57" s="82"/>
      <c r="H57" s="82"/>
      <c r="I57" s="82"/>
      <c r="J57" s="36"/>
      <c r="K57" s="36"/>
      <c r="L57" s="36"/>
      <c r="M57" s="36"/>
      <c r="N57" s="36"/>
      <c r="O57" s="36"/>
      <c r="P57" s="36"/>
    </row>
    <row r="58" spans="1:16" x14ac:dyDescent="0.25">
      <c r="A58" s="82"/>
      <c r="B58" s="82" t="s">
        <v>542</v>
      </c>
      <c r="C58" s="82"/>
      <c r="D58" s="549">
        <f>C46*C55</f>
        <v>11377.579365079366</v>
      </c>
      <c r="E58" s="82"/>
      <c r="F58" s="82"/>
      <c r="G58" s="82"/>
      <c r="H58" s="82"/>
      <c r="I58" s="82"/>
      <c r="J58" s="36"/>
      <c r="K58" s="36"/>
      <c r="L58" s="36"/>
      <c r="M58" s="36"/>
      <c r="N58" s="36"/>
      <c r="O58" s="36"/>
      <c r="P58" s="36"/>
    </row>
    <row r="59" spans="1:16" x14ac:dyDescent="0.25">
      <c r="A59" s="82"/>
      <c r="B59" s="82"/>
      <c r="C59" s="82"/>
      <c r="D59" s="82"/>
      <c r="E59" s="82"/>
      <c r="F59" s="82"/>
      <c r="G59" s="82"/>
      <c r="H59" s="82"/>
      <c r="I59" s="82"/>
      <c r="J59" s="36"/>
      <c r="K59" s="36"/>
      <c r="L59" s="36"/>
      <c r="M59" s="36"/>
      <c r="N59" s="36"/>
      <c r="O59" s="36"/>
      <c r="P59" s="36"/>
    </row>
    <row r="60" spans="1:16" x14ac:dyDescent="0.25">
      <c r="A60" s="82"/>
      <c r="B60" s="82"/>
      <c r="C60" s="82"/>
      <c r="D60" s="82"/>
      <c r="E60" s="82"/>
      <c r="F60" s="82"/>
      <c r="G60" s="82"/>
      <c r="H60" s="82"/>
      <c r="I60" s="82"/>
      <c r="J60" s="36"/>
      <c r="K60" s="36"/>
      <c r="L60" s="36"/>
      <c r="M60" s="36"/>
      <c r="N60" s="36"/>
      <c r="O60" s="36"/>
      <c r="P60" s="36"/>
    </row>
    <row r="61" spans="1:16" x14ac:dyDescent="0.25">
      <c r="A61" s="82"/>
      <c r="B61" s="82"/>
      <c r="C61" s="82"/>
      <c r="D61" s="82"/>
      <c r="E61" s="82"/>
      <c r="F61" s="82"/>
      <c r="G61" s="82"/>
      <c r="H61" s="82"/>
      <c r="I61" s="82"/>
      <c r="J61" s="36"/>
      <c r="K61" s="36"/>
      <c r="L61" s="36"/>
      <c r="M61" s="36"/>
      <c r="N61" s="36"/>
      <c r="O61" s="36"/>
      <c r="P61" s="36"/>
    </row>
  </sheetData>
  <mergeCells count="16">
    <mergeCell ref="B6:B7"/>
    <mergeCell ref="C6:C7"/>
    <mergeCell ref="D6:D7"/>
    <mergeCell ref="E6:E7"/>
    <mergeCell ref="B8:B10"/>
    <mergeCell ref="C8:C10"/>
    <mergeCell ref="D8:D10"/>
    <mergeCell ref="B19:B20"/>
    <mergeCell ref="C19:C20"/>
    <mergeCell ref="D19:D20"/>
    <mergeCell ref="B12:B15"/>
    <mergeCell ref="C12:C15"/>
    <mergeCell ref="D12:D15"/>
    <mergeCell ref="B17:B18"/>
    <mergeCell ref="C17:C18"/>
    <mergeCell ref="D17:D1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Z200"/>
  <sheetViews>
    <sheetView workbookViewId="0"/>
  </sheetViews>
  <sheetFormatPr defaultColWidth="0" defaultRowHeight="0" customHeight="1" zeroHeight="1" x14ac:dyDescent="0.25"/>
  <cols>
    <col min="1" max="1" width="15.5" style="37" customWidth="1"/>
    <col min="2" max="2" width="14.125" style="37" customWidth="1"/>
    <col min="3" max="3" width="14.5" style="37" customWidth="1"/>
    <col min="4" max="4" width="15.5" style="37" customWidth="1"/>
    <col min="5" max="5" width="12.75" style="37" customWidth="1"/>
    <col min="6" max="6" width="11.125" style="37" customWidth="1"/>
    <col min="7" max="49" width="9.375" style="37" customWidth="1"/>
    <col min="50" max="16384" width="9.375" style="37" hidden="1"/>
  </cols>
  <sheetData>
    <row r="1" spans="1:52" ht="15.75" customHeight="1" thickBot="1" x14ac:dyDescent="0.3">
      <c r="A1" s="1">
        <v>16</v>
      </c>
      <c r="B1" s="2"/>
      <c r="C1" s="33"/>
      <c r="D1" s="33"/>
      <c r="E1" s="33"/>
      <c r="F1" s="33"/>
      <c r="G1" s="33"/>
      <c r="H1" s="33"/>
      <c r="I1" s="34"/>
      <c r="J1" s="82"/>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39"/>
      <c r="I2" s="40"/>
      <c r="J2" s="82"/>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1.75</v>
      </c>
      <c r="B3" s="39"/>
      <c r="C3" s="39"/>
      <c r="D3" s="39"/>
      <c r="E3" s="39"/>
      <c r="F3" s="39"/>
      <c r="G3" s="39"/>
      <c r="H3" s="39"/>
      <c r="I3" s="40"/>
      <c r="J3" s="82"/>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414</v>
      </c>
      <c r="C4" s="39"/>
      <c r="D4" s="39"/>
      <c r="E4" s="39"/>
      <c r="F4" s="39"/>
      <c r="G4" s="46"/>
      <c r="H4" s="46"/>
      <c r="I4" s="47"/>
      <c r="J4" s="82"/>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88"/>
      <c r="C5" s="39"/>
      <c r="D5" s="39"/>
      <c r="E5" s="39"/>
      <c r="F5" s="39"/>
      <c r="G5" s="46"/>
      <c r="H5" s="46"/>
      <c r="I5" s="40"/>
      <c r="J5" s="82"/>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x14ac:dyDescent="0.25">
      <c r="A6" s="42"/>
      <c r="B6" s="550" t="s">
        <v>543</v>
      </c>
      <c r="C6" s="551"/>
      <c r="D6" s="552"/>
      <c r="E6" s="552"/>
      <c r="F6" s="552"/>
      <c r="G6" s="553"/>
      <c r="H6" s="429"/>
      <c r="I6" s="57"/>
      <c r="J6" s="82"/>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thickBot="1" x14ac:dyDescent="0.3">
      <c r="A7" s="42"/>
      <c r="B7" s="441" t="s">
        <v>182</v>
      </c>
      <c r="C7" s="554">
        <v>12</v>
      </c>
      <c r="D7" s="554">
        <v>24</v>
      </c>
      <c r="E7" s="554">
        <v>36</v>
      </c>
      <c r="F7" s="554">
        <v>48</v>
      </c>
      <c r="G7" s="555">
        <v>60</v>
      </c>
      <c r="H7" s="556"/>
      <c r="I7" s="61"/>
      <c r="J7" s="82"/>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557">
        <v>2013</v>
      </c>
      <c r="C8" s="558">
        <v>2400</v>
      </c>
      <c r="D8" s="559">
        <v>4800</v>
      </c>
      <c r="E8" s="559">
        <v>7200</v>
      </c>
      <c r="F8" s="559">
        <v>8640</v>
      </c>
      <c r="G8" s="560">
        <v>8640</v>
      </c>
      <c r="H8" s="46"/>
      <c r="I8" s="40"/>
      <c r="J8" s="82"/>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42"/>
      <c r="B9" s="561">
        <v>2014</v>
      </c>
      <c r="C9" s="562">
        <v>2500</v>
      </c>
      <c r="D9" s="563">
        <v>5000</v>
      </c>
      <c r="E9" s="563">
        <v>7500</v>
      </c>
      <c r="F9" s="563">
        <v>9000</v>
      </c>
      <c r="G9" s="564"/>
      <c r="H9" s="46"/>
      <c r="I9" s="40"/>
      <c r="J9" s="82"/>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561">
        <v>2015</v>
      </c>
      <c r="C10" s="562">
        <v>3025</v>
      </c>
      <c r="D10" s="563">
        <v>6050</v>
      </c>
      <c r="E10" s="563">
        <v>9075</v>
      </c>
      <c r="F10" s="563"/>
      <c r="G10" s="564"/>
      <c r="H10" s="46"/>
      <c r="I10" s="40"/>
      <c r="J10" s="82"/>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561">
        <v>2016</v>
      </c>
      <c r="C11" s="562">
        <v>2750</v>
      </c>
      <c r="D11" s="563">
        <v>5500</v>
      </c>
      <c r="E11" s="563"/>
      <c r="F11" s="563"/>
      <c r="G11" s="564"/>
      <c r="H11" s="46"/>
      <c r="I11" s="40"/>
      <c r="J11" s="82"/>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565">
        <v>2017</v>
      </c>
      <c r="C12" s="566">
        <v>9000</v>
      </c>
      <c r="D12" s="567"/>
      <c r="E12" s="567"/>
      <c r="F12" s="567"/>
      <c r="G12" s="568"/>
      <c r="H12" s="46"/>
      <c r="I12" s="40"/>
      <c r="J12" s="82"/>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88"/>
      <c r="C13" s="39"/>
      <c r="D13" s="39"/>
      <c r="E13" s="39"/>
      <c r="F13" s="39"/>
      <c r="G13" s="46"/>
      <c r="H13" s="46"/>
      <c r="I13" s="40"/>
      <c r="J13" s="82"/>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c r="B14" s="569" t="s">
        <v>544</v>
      </c>
      <c r="C14" s="39"/>
      <c r="D14" s="39"/>
      <c r="E14" s="39"/>
      <c r="F14" s="39"/>
      <c r="G14" s="46"/>
      <c r="H14" s="46"/>
      <c r="I14" s="40"/>
      <c r="J14" s="82"/>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569" t="s">
        <v>545</v>
      </c>
      <c r="C15" s="39"/>
      <c r="D15" s="39"/>
      <c r="E15" s="39"/>
      <c r="F15" s="39"/>
      <c r="G15" s="46"/>
      <c r="H15" s="46"/>
      <c r="I15" s="40"/>
      <c r="J15" s="82"/>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569" t="s">
        <v>546</v>
      </c>
      <c r="C16" s="39"/>
      <c r="D16" s="39"/>
      <c r="E16" s="39"/>
      <c r="F16" s="39"/>
      <c r="G16" s="46"/>
      <c r="H16" s="46"/>
      <c r="I16" s="40"/>
      <c r="J16" s="82"/>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39"/>
      <c r="C17" s="39"/>
      <c r="D17" s="39"/>
      <c r="E17" s="39"/>
      <c r="F17" s="39"/>
      <c r="G17" s="46"/>
      <c r="H17" s="46"/>
      <c r="I17" s="40"/>
      <c r="J17" s="82"/>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v>1</v>
      </c>
      <c r="B18" s="39" t="s">
        <v>46</v>
      </c>
      <c r="C18" s="39"/>
      <c r="D18" s="39"/>
      <c r="E18" s="39"/>
      <c r="F18" s="39"/>
      <c r="G18" s="46"/>
      <c r="H18" s="46"/>
      <c r="I18" s="40"/>
      <c r="J18" s="82"/>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2"/>
      <c r="B19" s="133" t="s">
        <v>547</v>
      </c>
      <c r="C19" s="39"/>
      <c r="D19" s="39"/>
      <c r="E19" s="39"/>
      <c r="F19" s="39"/>
      <c r="G19" s="46"/>
      <c r="H19" s="46"/>
      <c r="I19" s="40"/>
      <c r="J19" s="82"/>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c r="B20" s="133"/>
      <c r="C20" s="39"/>
      <c r="D20" s="39"/>
      <c r="E20" s="39"/>
      <c r="F20" s="39"/>
      <c r="G20" s="46"/>
      <c r="H20" s="46"/>
      <c r="I20" s="40"/>
      <c r="J20" s="82"/>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v>0.5</v>
      </c>
      <c r="B21" s="39" t="s">
        <v>21</v>
      </c>
      <c r="C21" s="39"/>
      <c r="D21" s="39"/>
      <c r="E21" s="39"/>
      <c r="F21" s="39"/>
      <c r="G21" s="39"/>
      <c r="H21" s="39"/>
      <c r="I21" s="40"/>
      <c r="J21" s="82"/>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c r="B22" s="39" t="s">
        <v>548</v>
      </c>
      <c r="C22" s="39"/>
      <c r="D22" s="39"/>
      <c r="E22" s="39"/>
      <c r="F22" s="39"/>
      <c r="G22" s="39"/>
      <c r="H22" s="39"/>
      <c r="I22" s="40"/>
      <c r="J22" s="82"/>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c r="B23" s="39" t="s">
        <v>549</v>
      </c>
      <c r="C23" s="39"/>
      <c r="D23" s="39"/>
      <c r="E23" s="39"/>
      <c r="F23" s="39"/>
      <c r="G23" s="39"/>
      <c r="H23" s="39"/>
      <c r="I23" s="40"/>
      <c r="J23" s="82"/>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c r="B24" s="39"/>
      <c r="C24" s="39"/>
      <c r="D24" s="39"/>
      <c r="E24" s="39"/>
      <c r="F24" s="39"/>
      <c r="G24" s="39"/>
      <c r="H24" s="39"/>
      <c r="I24" s="40"/>
      <c r="J24" s="82"/>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2">
        <v>0.25</v>
      </c>
      <c r="B25" s="39" t="s">
        <v>52</v>
      </c>
      <c r="C25" s="39"/>
      <c r="D25" s="256"/>
      <c r="E25" s="70"/>
      <c r="F25" s="70"/>
      <c r="G25" s="71"/>
      <c r="H25" s="39"/>
      <c r="I25" s="40"/>
      <c r="J25" s="82"/>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42"/>
      <c r="B26" s="133" t="s">
        <v>550</v>
      </c>
      <c r="C26" s="39"/>
      <c r="D26" s="522"/>
      <c r="E26" s="522"/>
      <c r="F26" s="522"/>
      <c r="G26" s="522"/>
      <c r="H26" s="522"/>
      <c r="I26" s="40"/>
      <c r="J26" s="82"/>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42"/>
      <c r="B27" s="133" t="s">
        <v>551</v>
      </c>
      <c r="C27" s="39"/>
      <c r="D27" s="522"/>
      <c r="E27" s="522"/>
      <c r="F27" s="522"/>
      <c r="G27" s="522"/>
      <c r="H27" s="522"/>
      <c r="I27" s="40"/>
      <c r="J27" s="82"/>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thickBot="1" x14ac:dyDescent="0.3">
      <c r="A28" s="75"/>
      <c r="B28" s="76"/>
      <c r="C28" s="257"/>
      <c r="D28" s="258"/>
      <c r="E28" s="258"/>
      <c r="F28" s="258"/>
      <c r="G28" s="258"/>
      <c r="H28" s="258"/>
      <c r="I28" s="259"/>
      <c r="J28" s="82"/>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thickBot="1" x14ac:dyDescent="0.3">
      <c r="A29" s="82"/>
      <c r="B29" s="82"/>
      <c r="C29" s="82"/>
      <c r="D29" s="82"/>
      <c r="E29" s="82"/>
      <c r="F29" s="82"/>
      <c r="G29" s="82"/>
      <c r="H29" s="82"/>
      <c r="I29" s="82"/>
      <c r="J29" s="82"/>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t="s">
        <v>121</v>
      </c>
      <c r="B30" s="550" t="s">
        <v>543</v>
      </c>
      <c r="C30" s="551"/>
      <c r="D30" s="552"/>
      <c r="E30" s="552"/>
      <c r="F30" s="552"/>
      <c r="G30" s="553"/>
      <c r="H30" s="82"/>
      <c r="I30" s="82"/>
      <c r="J30" s="82"/>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thickBot="1" x14ac:dyDescent="0.3">
      <c r="A31" s="82"/>
      <c r="B31" s="441" t="s">
        <v>182</v>
      </c>
      <c r="C31" s="554">
        <v>12</v>
      </c>
      <c r="D31" s="554">
        <v>24</v>
      </c>
      <c r="E31" s="554">
        <v>36</v>
      </c>
      <c r="F31" s="554">
        <v>48</v>
      </c>
      <c r="G31" s="555">
        <v>60</v>
      </c>
      <c r="H31" s="82"/>
      <c r="I31" s="82"/>
      <c r="J31" s="82"/>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557">
        <v>2013</v>
      </c>
      <c r="C32" s="558">
        <v>2400</v>
      </c>
      <c r="D32" s="559">
        <v>4800</v>
      </c>
      <c r="E32" s="559">
        <v>7200</v>
      </c>
      <c r="F32" s="559">
        <v>8640</v>
      </c>
      <c r="G32" s="560">
        <v>8640</v>
      </c>
      <c r="H32" s="82"/>
      <c r="I32" s="82"/>
      <c r="J32" s="82"/>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561">
        <v>2014</v>
      </c>
      <c r="C33" s="562">
        <v>2500</v>
      </c>
      <c r="D33" s="563">
        <v>5000</v>
      </c>
      <c r="E33" s="563">
        <v>7500</v>
      </c>
      <c r="F33" s="563">
        <v>9000</v>
      </c>
      <c r="G33" s="564"/>
      <c r="H33" s="82"/>
      <c r="I33" s="82"/>
      <c r="J33" s="82"/>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561">
        <v>2015</v>
      </c>
      <c r="C34" s="562">
        <v>3025</v>
      </c>
      <c r="D34" s="563">
        <v>6050</v>
      </c>
      <c r="E34" s="563">
        <v>9075</v>
      </c>
      <c r="F34" s="563"/>
      <c r="G34" s="564"/>
      <c r="H34" s="82"/>
      <c r="I34" s="82"/>
      <c r="J34" s="82"/>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561">
        <v>2016</v>
      </c>
      <c r="C35" s="562">
        <v>2750</v>
      </c>
      <c r="D35" s="563">
        <v>5500</v>
      </c>
      <c r="E35" s="563"/>
      <c r="F35" s="563"/>
      <c r="G35" s="564"/>
      <c r="H35" s="82"/>
      <c r="I35" s="82"/>
      <c r="J35" s="82"/>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thickBot="1" x14ac:dyDescent="0.3">
      <c r="A36" s="82"/>
      <c r="B36" s="565">
        <v>2017</v>
      </c>
      <c r="C36" s="566">
        <v>9000</v>
      </c>
      <c r="D36" s="567"/>
      <c r="E36" s="567"/>
      <c r="F36" s="567"/>
      <c r="G36" s="568"/>
      <c r="H36" s="82"/>
      <c r="I36" s="82"/>
      <c r="J36" s="82"/>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c r="C37" s="82"/>
      <c r="D37" s="82"/>
      <c r="E37" s="82"/>
      <c r="F37" s="82"/>
      <c r="G37" s="82"/>
      <c r="H37" s="82"/>
      <c r="I37" s="82"/>
      <c r="J37" s="82"/>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thickBot="1" x14ac:dyDescent="0.3">
      <c r="A38" s="82"/>
      <c r="B38" s="82" t="s">
        <v>552</v>
      </c>
      <c r="C38" s="82" t="s">
        <v>553</v>
      </c>
      <c r="D38" s="82" t="s">
        <v>554</v>
      </c>
      <c r="E38" s="82" t="s">
        <v>555</v>
      </c>
      <c r="F38" s="82" t="s">
        <v>556</v>
      </c>
      <c r="G38" s="82"/>
      <c r="H38" s="82"/>
      <c r="I38" s="82"/>
      <c r="J38" s="82"/>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557">
        <v>2013</v>
      </c>
      <c r="C39" s="570">
        <f>D32/C32</f>
        <v>2</v>
      </c>
      <c r="D39" s="570">
        <f t="shared" ref="D39:F41" si="0">E32/D32</f>
        <v>1.5</v>
      </c>
      <c r="E39" s="570">
        <f t="shared" si="0"/>
        <v>1.2</v>
      </c>
      <c r="F39" s="570">
        <f t="shared" si="0"/>
        <v>1</v>
      </c>
      <c r="G39" s="82"/>
      <c r="H39" s="82"/>
      <c r="I39" s="82"/>
      <c r="J39" s="82"/>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561">
        <v>2014</v>
      </c>
      <c r="C40" s="570">
        <f>D33/C33</f>
        <v>2</v>
      </c>
      <c r="D40" s="570">
        <f t="shared" si="0"/>
        <v>1.5</v>
      </c>
      <c r="E40" s="570">
        <f t="shared" si="0"/>
        <v>1.2</v>
      </c>
      <c r="F40" s="570"/>
      <c r="G40" s="82"/>
      <c r="H40" s="82"/>
      <c r="I40" s="82"/>
      <c r="J40" s="82"/>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561">
        <v>2015</v>
      </c>
      <c r="C41" s="570">
        <f>D34/C34</f>
        <v>2</v>
      </c>
      <c r="D41" s="570">
        <f t="shared" si="0"/>
        <v>1.5</v>
      </c>
      <c r="E41" s="570"/>
      <c r="F41" s="570"/>
      <c r="G41" s="82"/>
      <c r="H41" s="82"/>
      <c r="I41" s="82"/>
      <c r="J41" s="82"/>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561">
        <v>2016</v>
      </c>
      <c r="C42" s="570">
        <f>D35/C35</f>
        <v>2</v>
      </c>
      <c r="D42" s="570"/>
      <c r="E42" s="570"/>
      <c r="F42" s="570"/>
      <c r="G42" s="82"/>
      <c r="H42" s="82"/>
      <c r="I42" s="82"/>
      <c r="J42" s="82"/>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82"/>
      <c r="J43" s="82"/>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t="s">
        <v>557</v>
      </c>
      <c r="C44" s="570">
        <f>AVERAGE(C39:C42)</f>
        <v>2</v>
      </c>
      <c r="D44" s="570">
        <f t="shared" ref="D44:F44" si="1">AVERAGE(D39:D42)</f>
        <v>1.5</v>
      </c>
      <c r="E44" s="570">
        <f t="shared" si="1"/>
        <v>1.2</v>
      </c>
      <c r="F44" s="570">
        <f t="shared" si="1"/>
        <v>1</v>
      </c>
      <c r="G44" s="82"/>
      <c r="H44" s="82"/>
      <c r="I44" s="82"/>
      <c r="J44" s="82"/>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82"/>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t="s">
        <v>162</v>
      </c>
      <c r="C46" s="82" t="s">
        <v>558</v>
      </c>
      <c r="D46" s="82" t="s">
        <v>559</v>
      </c>
      <c r="E46" s="82" t="s">
        <v>528</v>
      </c>
      <c r="F46" s="82" t="s">
        <v>560</v>
      </c>
      <c r="G46" s="82"/>
      <c r="H46" s="82"/>
      <c r="I46" s="82"/>
      <c r="J46" s="82"/>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f>C44*D44*E44*F44</f>
        <v>3.5999999999999996</v>
      </c>
      <c r="D47" s="82">
        <f>D44*E44*F44</f>
        <v>1.7999999999999998</v>
      </c>
      <c r="E47" s="82">
        <f>E44*F44</f>
        <v>1.2</v>
      </c>
      <c r="F47" s="570">
        <f>F44</f>
        <v>1</v>
      </c>
      <c r="G47" s="82"/>
      <c r="H47" s="82"/>
      <c r="I47" s="82"/>
      <c r="J47" s="82"/>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82"/>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thickBot="1" x14ac:dyDescent="0.3">
      <c r="A49" s="82"/>
      <c r="B49" s="441" t="s">
        <v>182</v>
      </c>
      <c r="C49" s="82" t="s">
        <v>561</v>
      </c>
      <c r="D49" s="82" t="s">
        <v>562</v>
      </c>
      <c r="E49" s="571" t="s">
        <v>563</v>
      </c>
      <c r="F49" s="82"/>
      <c r="G49" s="82"/>
      <c r="H49" s="82"/>
      <c r="I49" s="82"/>
      <c r="J49" s="82"/>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557">
        <v>2013</v>
      </c>
      <c r="C50" s="189">
        <f>G32*1000</f>
        <v>8640000</v>
      </c>
      <c r="D50" s="572">
        <f>C50*F47</f>
        <v>8640000</v>
      </c>
      <c r="E50" s="573">
        <f>D50-C50</f>
        <v>0</v>
      </c>
      <c r="F50" s="82"/>
      <c r="G50" s="82"/>
      <c r="H50" s="82"/>
      <c r="I50" s="82"/>
      <c r="J50" s="82"/>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561">
        <v>2014</v>
      </c>
      <c r="C51" s="189">
        <f>F33*1000</f>
        <v>9000000</v>
      </c>
      <c r="D51" s="572">
        <f>C51*F47</f>
        <v>9000000</v>
      </c>
      <c r="E51" s="573">
        <f t="shared" ref="E51:E54" si="2">D51-C51</f>
        <v>0</v>
      </c>
      <c r="F51" s="82"/>
      <c r="G51" s="82"/>
      <c r="H51" s="82"/>
      <c r="I51" s="82"/>
      <c r="J51" s="82"/>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561">
        <v>2015</v>
      </c>
      <c r="C52" s="189">
        <f>E34*1000</f>
        <v>9075000</v>
      </c>
      <c r="D52" s="572">
        <f>C52*E47</f>
        <v>10890000</v>
      </c>
      <c r="E52" s="573">
        <f t="shared" si="2"/>
        <v>1815000</v>
      </c>
      <c r="F52" s="82"/>
      <c r="G52" s="82"/>
      <c r="H52" s="82"/>
      <c r="I52" s="82"/>
      <c r="J52" s="82"/>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561">
        <v>2016</v>
      </c>
      <c r="C53" s="189">
        <f>D35*1000</f>
        <v>5500000</v>
      </c>
      <c r="D53" s="572">
        <f>C53*D47</f>
        <v>9899999.9999999981</v>
      </c>
      <c r="E53" s="573">
        <f t="shared" si="2"/>
        <v>4399999.9999999981</v>
      </c>
      <c r="F53" s="82"/>
      <c r="G53" s="82"/>
      <c r="H53" s="82"/>
      <c r="I53" s="82"/>
      <c r="J53" s="82"/>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thickBot="1" x14ac:dyDescent="0.3">
      <c r="A54" s="82"/>
      <c r="B54" s="565">
        <v>2017</v>
      </c>
      <c r="C54" s="189">
        <f>C36*1000</f>
        <v>9000000</v>
      </c>
      <c r="D54" s="572">
        <f>C54*C47</f>
        <v>32399999.999999996</v>
      </c>
      <c r="E54" s="573">
        <f t="shared" si="2"/>
        <v>23399999.999999996</v>
      </c>
      <c r="F54" s="82"/>
      <c r="G54" s="82"/>
      <c r="H54" s="82"/>
      <c r="I54" s="82"/>
      <c r="J54" s="82"/>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82"/>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t="s">
        <v>131</v>
      </c>
      <c r="B56" s="82" t="s">
        <v>564</v>
      </c>
      <c r="C56" s="82"/>
      <c r="D56" s="82"/>
      <c r="E56" s="82"/>
      <c r="F56" s="82"/>
      <c r="G56" s="82"/>
      <c r="H56" s="82"/>
      <c r="I56" s="82"/>
      <c r="J56" s="82"/>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t="s">
        <v>565</v>
      </c>
      <c r="C57" s="82"/>
      <c r="D57" s="82"/>
      <c r="E57" s="82"/>
      <c r="F57" s="82"/>
      <c r="G57" s="82"/>
      <c r="H57" s="82"/>
      <c r="I57" s="82"/>
      <c r="J57" s="82"/>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82"/>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t="s">
        <v>566</v>
      </c>
      <c r="B59" s="82" t="s">
        <v>567</v>
      </c>
      <c r="C59" s="82"/>
      <c r="D59" s="82"/>
      <c r="E59" s="82"/>
      <c r="F59" s="82"/>
      <c r="G59" s="82"/>
      <c r="H59" s="82"/>
      <c r="I59" s="82"/>
      <c r="J59" s="82"/>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82"/>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82"/>
      <c r="H61" s="82"/>
      <c r="I61" s="82"/>
      <c r="J61" s="82"/>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82"/>
      <c r="B62" s="82"/>
      <c r="C62" s="82"/>
      <c r="D62" s="82"/>
      <c r="E62" s="82"/>
      <c r="F62" s="82"/>
      <c r="G62" s="82"/>
      <c r="H62" s="82"/>
      <c r="I62" s="82"/>
      <c r="J62" s="82"/>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82"/>
      <c r="B63" s="82"/>
      <c r="C63" s="82"/>
      <c r="D63" s="82"/>
      <c r="E63" s="82"/>
      <c r="F63" s="82"/>
      <c r="G63" s="82"/>
      <c r="H63" s="82"/>
      <c r="I63" s="82"/>
      <c r="J63" s="82"/>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82"/>
      <c r="B64" s="82"/>
      <c r="C64" s="82"/>
      <c r="D64" s="82"/>
      <c r="E64" s="82"/>
      <c r="F64" s="82"/>
      <c r="G64" s="82"/>
      <c r="H64" s="82"/>
      <c r="I64" s="82"/>
      <c r="J64" s="82"/>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90" firstPageNumber="0" orientation="portrait"/>
  <headerFooter alignWithMargins="0">
    <oddHeader>&amp;CSpring 2018 Exam 5 Make-Up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Z200"/>
  <sheetViews>
    <sheetView zoomScale="90" zoomScaleNormal="90" workbookViewId="0"/>
  </sheetViews>
  <sheetFormatPr defaultColWidth="0" defaultRowHeight="0" customHeight="1" zeroHeight="1" x14ac:dyDescent="0.2"/>
  <cols>
    <col min="1" max="2" width="11.125" style="578" customWidth="1"/>
    <col min="3" max="3" width="13.75" style="578" customWidth="1"/>
    <col min="4" max="10" width="11.125" style="578" customWidth="1"/>
    <col min="11" max="11" width="9.125" style="578" customWidth="1"/>
    <col min="12" max="12" width="9.875" style="578" customWidth="1"/>
    <col min="13" max="49" width="7.625" style="578" customWidth="1"/>
    <col min="50" max="16384" width="7.625" style="578" hidden="1"/>
  </cols>
  <sheetData>
    <row r="1" spans="1:52" ht="15.75" customHeight="1" thickBot="1" x14ac:dyDescent="0.25">
      <c r="A1" s="1">
        <v>17</v>
      </c>
      <c r="B1" s="2"/>
      <c r="C1" s="574"/>
      <c r="D1" s="575"/>
      <c r="E1" s="575"/>
      <c r="F1" s="575"/>
      <c r="G1" s="575"/>
      <c r="H1" s="575"/>
      <c r="I1" s="575"/>
      <c r="J1" s="575"/>
      <c r="K1" s="575"/>
      <c r="L1" s="575"/>
      <c r="M1" s="576"/>
      <c r="N1" s="577"/>
      <c r="O1" s="577"/>
      <c r="P1" s="577"/>
      <c r="Q1" s="577"/>
      <c r="R1" s="577"/>
      <c r="S1" s="577"/>
      <c r="T1" s="577"/>
      <c r="U1" s="577"/>
      <c r="V1" s="577"/>
      <c r="W1" s="577"/>
      <c r="X1" s="577"/>
      <c r="Y1" s="577"/>
      <c r="Z1" s="577"/>
      <c r="AA1" s="577"/>
      <c r="AB1" s="577"/>
      <c r="AC1" s="577"/>
      <c r="AD1" s="577"/>
      <c r="AE1" s="577"/>
      <c r="AF1" s="577"/>
      <c r="AG1" s="577"/>
      <c r="AH1" s="577"/>
      <c r="AI1" s="577"/>
      <c r="AJ1" s="577"/>
      <c r="AK1" s="577"/>
      <c r="AL1" s="577"/>
      <c r="AM1" s="577"/>
      <c r="AN1" s="577"/>
      <c r="AO1" s="577"/>
      <c r="AP1" s="577"/>
      <c r="AQ1" s="577"/>
      <c r="AR1" s="577"/>
      <c r="AS1" s="577"/>
      <c r="AT1" s="577"/>
      <c r="AU1" s="577"/>
      <c r="AV1" s="577"/>
      <c r="AW1" s="577"/>
      <c r="AX1" s="577"/>
      <c r="AY1" s="577"/>
      <c r="AZ1" s="577"/>
    </row>
    <row r="2" spans="1:52" ht="15.75" customHeight="1" x14ac:dyDescent="0.2">
      <c r="A2" s="579" t="s">
        <v>0</v>
      </c>
      <c r="B2" s="580"/>
      <c r="C2" s="581"/>
      <c r="D2" s="581"/>
      <c r="E2" s="581"/>
      <c r="F2" s="581"/>
      <c r="G2" s="581"/>
      <c r="H2" s="581"/>
      <c r="I2" s="581"/>
      <c r="J2" s="581"/>
      <c r="K2" s="581"/>
      <c r="L2" s="581"/>
      <c r="M2" s="582"/>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577"/>
      <c r="AN2" s="577"/>
      <c r="AO2" s="577"/>
      <c r="AP2" s="577"/>
      <c r="AQ2" s="577"/>
      <c r="AR2" s="577"/>
      <c r="AS2" s="577"/>
      <c r="AT2" s="577"/>
      <c r="AU2" s="577"/>
      <c r="AV2" s="577"/>
      <c r="AW2" s="577"/>
      <c r="AX2" s="577"/>
      <c r="AY2" s="577"/>
      <c r="AZ2" s="577"/>
    </row>
    <row r="3" spans="1:52" ht="15.75" customHeight="1" x14ac:dyDescent="0.2">
      <c r="A3" s="583">
        <v>2</v>
      </c>
      <c r="B3" s="11"/>
      <c r="C3" s="581"/>
      <c r="D3" s="581"/>
      <c r="E3" s="581"/>
      <c r="F3" s="581"/>
      <c r="G3" s="581"/>
      <c r="H3" s="581"/>
      <c r="I3" s="581"/>
      <c r="J3" s="581"/>
      <c r="K3" s="581"/>
      <c r="L3" s="581"/>
      <c r="M3" s="582"/>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577"/>
      <c r="AW3" s="577"/>
      <c r="AX3" s="577"/>
      <c r="AY3" s="577"/>
      <c r="AZ3" s="577"/>
    </row>
    <row r="4" spans="1:52" ht="15.75" customHeight="1" x14ac:dyDescent="0.2">
      <c r="A4" s="584"/>
      <c r="B4" s="581" t="s">
        <v>568</v>
      </c>
      <c r="C4" s="581"/>
      <c r="D4" s="581"/>
      <c r="E4" s="581"/>
      <c r="F4" s="581"/>
      <c r="G4" s="581"/>
      <c r="H4" s="581"/>
      <c r="I4" s="581"/>
      <c r="J4" s="581"/>
      <c r="K4" s="581"/>
      <c r="L4" s="581"/>
      <c r="M4" s="582"/>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c r="AT4" s="577"/>
      <c r="AU4" s="577"/>
      <c r="AV4" s="577"/>
      <c r="AW4" s="577"/>
      <c r="AX4" s="577"/>
      <c r="AY4" s="577"/>
      <c r="AZ4" s="577"/>
    </row>
    <row r="5" spans="1:52" ht="15.75" customHeight="1" thickBot="1" x14ac:dyDescent="0.25">
      <c r="A5" s="584"/>
      <c r="B5" s="581"/>
      <c r="C5" s="581"/>
      <c r="D5" s="581"/>
      <c r="E5" s="581"/>
      <c r="F5" s="581"/>
      <c r="G5" s="581"/>
      <c r="H5" s="581"/>
      <c r="I5" s="581"/>
      <c r="J5" s="581"/>
      <c r="K5" s="581"/>
      <c r="L5" s="581"/>
      <c r="M5" s="582"/>
      <c r="N5" s="577"/>
      <c r="O5" s="577"/>
      <c r="P5" s="577"/>
      <c r="Q5" s="577"/>
      <c r="R5" s="577"/>
      <c r="S5" s="577"/>
      <c r="T5" s="577"/>
      <c r="U5" s="577"/>
      <c r="V5" s="577"/>
      <c r="W5" s="577"/>
      <c r="X5" s="577"/>
      <c r="Y5" s="577"/>
      <c r="Z5" s="577"/>
      <c r="AA5" s="577"/>
      <c r="AB5" s="577"/>
      <c r="AC5" s="577"/>
      <c r="AD5" s="577"/>
      <c r="AE5" s="577"/>
      <c r="AF5" s="577"/>
      <c r="AG5" s="577"/>
      <c r="AH5" s="577"/>
      <c r="AI5" s="577"/>
      <c r="AJ5" s="577"/>
      <c r="AK5" s="577"/>
      <c r="AL5" s="577"/>
      <c r="AM5" s="577"/>
      <c r="AN5" s="577"/>
      <c r="AO5" s="577"/>
      <c r="AP5" s="577"/>
      <c r="AQ5" s="577"/>
      <c r="AR5" s="577"/>
      <c r="AS5" s="577"/>
      <c r="AT5" s="577"/>
      <c r="AU5" s="577"/>
      <c r="AV5" s="577"/>
      <c r="AW5" s="577"/>
      <c r="AX5" s="577"/>
      <c r="AY5" s="577"/>
      <c r="AZ5" s="577"/>
    </row>
    <row r="6" spans="1:52" ht="15.75" customHeight="1" x14ac:dyDescent="0.2">
      <c r="A6" s="584"/>
      <c r="B6" s="585" t="s">
        <v>135</v>
      </c>
      <c r="C6" s="586" t="s">
        <v>569</v>
      </c>
      <c r="D6" s="587"/>
      <c r="E6" s="587"/>
      <c r="F6" s="588"/>
      <c r="G6" s="581"/>
      <c r="H6" s="585" t="s">
        <v>135</v>
      </c>
      <c r="I6" s="586" t="s">
        <v>570</v>
      </c>
      <c r="J6" s="587"/>
      <c r="K6" s="587"/>
      <c r="L6" s="588"/>
      <c r="M6" s="582"/>
      <c r="N6" s="577"/>
      <c r="O6" s="577"/>
      <c r="P6" s="577"/>
      <c r="Q6" s="577"/>
      <c r="R6" s="577"/>
      <c r="S6" s="577"/>
      <c r="T6" s="577"/>
      <c r="U6" s="577"/>
      <c r="V6" s="577"/>
      <c r="W6" s="577"/>
      <c r="X6" s="577"/>
      <c r="Y6" s="577"/>
      <c r="Z6" s="577"/>
      <c r="AA6" s="577"/>
      <c r="AB6" s="577"/>
      <c r="AC6" s="577"/>
      <c r="AD6" s="577"/>
      <c r="AE6" s="577"/>
      <c r="AF6" s="577"/>
      <c r="AG6" s="577"/>
      <c r="AH6" s="577"/>
      <c r="AI6" s="577"/>
      <c r="AJ6" s="577"/>
      <c r="AK6" s="577"/>
      <c r="AL6" s="577"/>
      <c r="AM6" s="577"/>
      <c r="AN6" s="577"/>
      <c r="AO6" s="577"/>
      <c r="AP6" s="577"/>
      <c r="AQ6" s="577"/>
      <c r="AR6" s="577"/>
      <c r="AS6" s="577"/>
      <c r="AT6" s="577"/>
      <c r="AU6" s="577"/>
      <c r="AV6" s="577"/>
      <c r="AW6" s="577"/>
      <c r="AX6" s="577"/>
      <c r="AY6" s="577"/>
      <c r="AZ6" s="577"/>
    </row>
    <row r="7" spans="1:52" ht="15.75" customHeight="1" thickBot="1" x14ac:dyDescent="0.25">
      <c r="A7" s="584"/>
      <c r="B7" s="589" t="s">
        <v>83</v>
      </c>
      <c r="C7" s="526">
        <v>12</v>
      </c>
      <c r="D7" s="526">
        <v>24</v>
      </c>
      <c r="E7" s="526">
        <v>36</v>
      </c>
      <c r="F7" s="23">
        <v>48</v>
      </c>
      <c r="G7" s="581"/>
      <c r="H7" s="589" t="s">
        <v>83</v>
      </c>
      <c r="I7" s="526">
        <v>12</v>
      </c>
      <c r="J7" s="526">
        <v>24</v>
      </c>
      <c r="K7" s="526">
        <v>36</v>
      </c>
      <c r="L7" s="23">
        <v>48</v>
      </c>
      <c r="M7" s="582"/>
      <c r="N7" s="577"/>
      <c r="O7" s="577"/>
      <c r="P7" s="577"/>
      <c r="Q7" s="577"/>
      <c r="R7" s="577"/>
      <c r="S7" s="577"/>
      <c r="T7" s="577"/>
      <c r="U7" s="577"/>
      <c r="V7" s="577"/>
      <c r="W7" s="577"/>
      <c r="X7" s="577"/>
      <c r="Y7" s="577"/>
      <c r="Z7" s="577"/>
      <c r="AA7" s="577"/>
      <c r="AB7" s="577"/>
      <c r="AC7" s="577"/>
      <c r="AD7" s="577"/>
      <c r="AE7" s="577"/>
      <c r="AF7" s="577"/>
      <c r="AG7" s="577"/>
      <c r="AH7" s="577"/>
      <c r="AI7" s="577"/>
      <c r="AJ7" s="577"/>
      <c r="AK7" s="577"/>
      <c r="AL7" s="577"/>
      <c r="AM7" s="577"/>
      <c r="AN7" s="577"/>
      <c r="AO7" s="577"/>
      <c r="AP7" s="577"/>
      <c r="AQ7" s="577"/>
      <c r="AR7" s="577"/>
      <c r="AS7" s="577"/>
      <c r="AT7" s="577"/>
      <c r="AU7" s="577"/>
      <c r="AV7" s="577"/>
      <c r="AW7" s="577"/>
      <c r="AX7" s="577"/>
      <c r="AY7" s="577"/>
      <c r="AZ7" s="577"/>
    </row>
    <row r="8" spans="1:52" ht="15.75" customHeight="1" x14ac:dyDescent="0.2">
      <c r="A8" s="584"/>
      <c r="B8" s="590">
        <v>2014</v>
      </c>
      <c r="C8" s="591">
        <v>170</v>
      </c>
      <c r="D8" s="524">
        <v>184</v>
      </c>
      <c r="E8" s="524">
        <v>190</v>
      </c>
      <c r="F8" s="525">
        <v>196</v>
      </c>
      <c r="G8" s="581"/>
      <c r="H8" s="590">
        <v>2014</v>
      </c>
      <c r="I8" s="592">
        <v>7500</v>
      </c>
      <c r="J8" s="593">
        <v>12800</v>
      </c>
      <c r="K8" s="593">
        <v>18000</v>
      </c>
      <c r="L8" s="594">
        <v>25000</v>
      </c>
      <c r="M8" s="582"/>
      <c r="N8" s="577"/>
      <c r="O8" s="577"/>
      <c r="P8" s="577"/>
      <c r="Q8" s="577"/>
      <c r="R8" s="577"/>
      <c r="S8" s="577"/>
      <c r="T8" s="577"/>
      <c r="U8" s="577"/>
      <c r="V8" s="577"/>
      <c r="W8" s="577"/>
      <c r="X8" s="577"/>
      <c r="Y8" s="577"/>
      <c r="Z8" s="577"/>
      <c r="AA8" s="577"/>
      <c r="AB8" s="577"/>
      <c r="AC8" s="577"/>
      <c r="AD8" s="577"/>
      <c r="AE8" s="577"/>
      <c r="AF8" s="577"/>
      <c r="AG8" s="577"/>
      <c r="AH8" s="577"/>
      <c r="AI8" s="577"/>
      <c r="AJ8" s="577"/>
      <c r="AK8" s="577"/>
      <c r="AL8" s="577"/>
      <c r="AM8" s="577"/>
      <c r="AN8" s="577"/>
      <c r="AO8" s="577"/>
      <c r="AP8" s="577"/>
      <c r="AQ8" s="577"/>
      <c r="AR8" s="577"/>
      <c r="AS8" s="577"/>
      <c r="AT8" s="577"/>
      <c r="AU8" s="577"/>
      <c r="AV8" s="577"/>
      <c r="AW8" s="577"/>
      <c r="AX8" s="577"/>
      <c r="AY8" s="577"/>
      <c r="AZ8" s="577"/>
    </row>
    <row r="9" spans="1:52" ht="15.75" customHeight="1" x14ac:dyDescent="0.2">
      <c r="A9" s="584"/>
      <c r="B9" s="595">
        <v>2015</v>
      </c>
      <c r="C9" s="596">
        <v>175</v>
      </c>
      <c r="D9" s="597">
        <v>186</v>
      </c>
      <c r="E9" s="597">
        <v>194</v>
      </c>
      <c r="F9" s="19"/>
      <c r="G9" s="581"/>
      <c r="H9" s="595">
        <v>2015</v>
      </c>
      <c r="I9" s="598">
        <v>7250</v>
      </c>
      <c r="J9" s="599">
        <v>13000</v>
      </c>
      <c r="K9" s="599">
        <v>18500</v>
      </c>
      <c r="L9" s="600"/>
      <c r="M9" s="582"/>
      <c r="N9" s="577"/>
      <c r="O9" s="577"/>
      <c r="P9" s="577"/>
      <c r="Q9" s="577"/>
      <c r="R9" s="577"/>
      <c r="S9" s="577"/>
      <c r="T9" s="577"/>
      <c r="U9" s="577"/>
      <c r="V9" s="577"/>
      <c r="W9" s="577"/>
      <c r="X9" s="577"/>
      <c r="Y9" s="577"/>
      <c r="Z9" s="577"/>
      <c r="AA9" s="577"/>
      <c r="AB9" s="577"/>
      <c r="AC9" s="577"/>
      <c r="AD9" s="577"/>
      <c r="AE9" s="577"/>
      <c r="AF9" s="577"/>
      <c r="AG9" s="577"/>
      <c r="AH9" s="577"/>
      <c r="AI9" s="577"/>
      <c r="AJ9" s="577"/>
      <c r="AK9" s="577"/>
      <c r="AL9" s="577"/>
      <c r="AM9" s="577"/>
      <c r="AN9" s="577"/>
      <c r="AO9" s="577"/>
      <c r="AP9" s="577"/>
      <c r="AQ9" s="577"/>
      <c r="AR9" s="577"/>
      <c r="AS9" s="577"/>
      <c r="AT9" s="577"/>
      <c r="AU9" s="577"/>
      <c r="AV9" s="577"/>
      <c r="AW9" s="577"/>
      <c r="AX9" s="577"/>
      <c r="AY9" s="577"/>
      <c r="AZ9" s="577"/>
    </row>
    <row r="10" spans="1:52" ht="15.75" customHeight="1" x14ac:dyDescent="0.2">
      <c r="A10" s="584"/>
      <c r="B10" s="595">
        <v>2016</v>
      </c>
      <c r="C10" s="596">
        <v>178</v>
      </c>
      <c r="D10" s="597">
        <v>190</v>
      </c>
      <c r="E10" s="597"/>
      <c r="F10" s="19"/>
      <c r="G10" s="581"/>
      <c r="H10" s="595">
        <v>2016</v>
      </c>
      <c r="I10" s="598">
        <v>7700</v>
      </c>
      <c r="J10" s="599">
        <v>13450</v>
      </c>
      <c r="K10" s="599"/>
      <c r="L10" s="600"/>
      <c r="M10" s="582"/>
      <c r="N10" s="577"/>
      <c r="O10" s="577"/>
      <c r="P10" s="577"/>
      <c r="Q10" s="577"/>
      <c r="R10" s="577"/>
      <c r="S10" s="577"/>
      <c r="T10" s="577"/>
      <c r="U10" s="577"/>
      <c r="V10" s="577"/>
      <c r="W10" s="577"/>
      <c r="X10" s="577"/>
      <c r="Y10" s="577"/>
      <c r="Z10" s="577"/>
      <c r="AA10" s="577"/>
      <c r="AB10" s="577"/>
      <c r="AC10" s="577"/>
      <c r="AD10" s="577"/>
      <c r="AE10" s="577"/>
      <c r="AF10" s="577"/>
      <c r="AG10" s="577"/>
      <c r="AH10" s="577"/>
      <c r="AI10" s="577"/>
      <c r="AJ10" s="577"/>
      <c r="AK10" s="577"/>
      <c r="AL10" s="577"/>
      <c r="AM10" s="577"/>
      <c r="AN10" s="577"/>
      <c r="AO10" s="577"/>
      <c r="AP10" s="577"/>
      <c r="AQ10" s="577"/>
      <c r="AR10" s="577"/>
      <c r="AS10" s="577"/>
      <c r="AT10" s="577"/>
      <c r="AU10" s="577"/>
      <c r="AV10" s="577"/>
      <c r="AW10" s="577"/>
      <c r="AX10" s="577"/>
      <c r="AY10" s="577"/>
      <c r="AZ10" s="577"/>
    </row>
    <row r="11" spans="1:52" ht="15.75" customHeight="1" thickBot="1" x14ac:dyDescent="0.25">
      <c r="A11" s="584"/>
      <c r="B11" s="601">
        <v>2017</v>
      </c>
      <c r="C11" s="602">
        <v>185</v>
      </c>
      <c r="D11" s="526"/>
      <c r="E11" s="526"/>
      <c r="F11" s="23"/>
      <c r="G11" s="581"/>
      <c r="H11" s="601">
        <v>2017</v>
      </c>
      <c r="I11" s="603">
        <v>7950</v>
      </c>
      <c r="J11" s="604"/>
      <c r="K11" s="604"/>
      <c r="L11" s="605"/>
      <c r="M11" s="582"/>
      <c r="N11" s="577"/>
      <c r="O11" s="577"/>
      <c r="P11" s="577"/>
      <c r="Q11" s="577"/>
      <c r="R11" s="577"/>
      <c r="S11" s="577"/>
      <c r="T11" s="577"/>
      <c r="U11" s="577"/>
      <c r="V11" s="577"/>
      <c r="W11" s="577"/>
      <c r="X11" s="577"/>
      <c r="Y11" s="577"/>
      <c r="Z11" s="577"/>
      <c r="AA11" s="577"/>
      <c r="AB11" s="577"/>
      <c r="AC11" s="577"/>
      <c r="AD11" s="577"/>
      <c r="AE11" s="577"/>
      <c r="AF11" s="577"/>
      <c r="AG11" s="577"/>
      <c r="AH11" s="577"/>
      <c r="AI11" s="577"/>
      <c r="AJ11" s="577"/>
      <c r="AK11" s="577"/>
      <c r="AL11" s="577"/>
      <c r="AM11" s="577"/>
      <c r="AN11" s="577"/>
      <c r="AO11" s="577"/>
      <c r="AP11" s="577"/>
      <c r="AQ11" s="577"/>
      <c r="AR11" s="577"/>
      <c r="AS11" s="577"/>
      <c r="AT11" s="577"/>
      <c r="AU11" s="577"/>
      <c r="AV11" s="577"/>
      <c r="AW11" s="577"/>
      <c r="AX11" s="577"/>
      <c r="AY11" s="577"/>
      <c r="AZ11" s="577"/>
    </row>
    <row r="12" spans="1:52" ht="15.75" customHeight="1" thickBot="1" x14ac:dyDescent="0.25">
      <c r="A12" s="584"/>
      <c r="B12" s="581"/>
      <c r="C12" s="581"/>
      <c r="D12" s="581"/>
      <c r="E12" s="581"/>
      <c r="F12" s="581"/>
      <c r="G12" s="581"/>
      <c r="H12" s="581"/>
      <c r="I12" s="581"/>
      <c r="J12" s="581"/>
      <c r="K12" s="581"/>
      <c r="L12" s="581"/>
      <c r="M12" s="582"/>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7"/>
      <c r="AL12" s="577"/>
      <c r="AM12" s="577"/>
      <c r="AN12" s="577"/>
      <c r="AO12" s="577"/>
      <c r="AP12" s="577"/>
      <c r="AQ12" s="577"/>
      <c r="AR12" s="577"/>
      <c r="AS12" s="577"/>
      <c r="AT12" s="577"/>
      <c r="AU12" s="577"/>
      <c r="AV12" s="577"/>
      <c r="AW12" s="577"/>
      <c r="AX12" s="577"/>
      <c r="AY12" s="577"/>
      <c r="AZ12" s="577"/>
    </row>
    <row r="13" spans="1:52" ht="15.75" customHeight="1" x14ac:dyDescent="0.2">
      <c r="A13" s="584"/>
      <c r="B13" s="606" t="s">
        <v>135</v>
      </c>
      <c r="C13" s="607" t="s">
        <v>571</v>
      </c>
      <c r="D13" s="581"/>
      <c r="E13" s="581"/>
      <c r="F13" s="581"/>
      <c r="G13" s="581"/>
      <c r="H13" s="581"/>
      <c r="I13" s="581"/>
      <c r="J13" s="581"/>
      <c r="K13" s="581"/>
      <c r="L13" s="581"/>
      <c r="M13" s="582"/>
      <c r="N13" s="577"/>
      <c r="O13" s="577"/>
      <c r="P13" s="577"/>
      <c r="Q13" s="577"/>
      <c r="R13" s="577"/>
      <c r="S13" s="577"/>
      <c r="T13" s="577"/>
      <c r="U13" s="577"/>
      <c r="V13" s="577"/>
      <c r="W13" s="577"/>
      <c r="X13" s="577"/>
      <c r="Y13" s="577"/>
      <c r="Z13" s="577"/>
      <c r="AA13" s="577"/>
      <c r="AB13" s="577"/>
      <c r="AC13" s="577"/>
      <c r="AD13" s="577"/>
      <c r="AE13" s="577"/>
      <c r="AF13" s="577"/>
      <c r="AG13" s="577"/>
      <c r="AH13" s="577"/>
      <c r="AI13" s="577"/>
      <c r="AJ13" s="577"/>
      <c r="AK13" s="577"/>
      <c r="AL13" s="577"/>
      <c r="AM13" s="577"/>
      <c r="AN13" s="577"/>
      <c r="AO13" s="577"/>
      <c r="AP13" s="577"/>
      <c r="AQ13" s="577"/>
      <c r="AR13" s="577"/>
      <c r="AS13" s="577"/>
      <c r="AT13" s="577"/>
      <c r="AU13" s="577"/>
      <c r="AV13" s="577"/>
      <c r="AW13" s="577"/>
      <c r="AX13" s="577"/>
      <c r="AY13" s="577"/>
      <c r="AZ13" s="577"/>
    </row>
    <row r="14" spans="1:52" ht="15.75" customHeight="1" thickBot="1" x14ac:dyDescent="0.25">
      <c r="A14" s="584"/>
      <c r="B14" s="608" t="s">
        <v>83</v>
      </c>
      <c r="C14" s="609" t="s">
        <v>572</v>
      </c>
      <c r="D14" s="581"/>
      <c r="E14" s="581"/>
      <c r="F14" s="581"/>
      <c r="G14" s="581"/>
      <c r="H14" s="581"/>
      <c r="I14" s="581"/>
      <c r="J14" s="581"/>
      <c r="K14" s="581"/>
      <c r="L14" s="581"/>
      <c r="M14" s="582"/>
      <c r="N14" s="577"/>
      <c r="O14" s="577"/>
      <c r="P14" s="577"/>
      <c r="Q14" s="577"/>
      <c r="R14" s="577"/>
      <c r="S14" s="577"/>
      <c r="T14" s="577"/>
      <c r="U14" s="577"/>
      <c r="V14" s="577"/>
      <c r="W14" s="577"/>
      <c r="X14" s="577"/>
      <c r="Y14" s="577"/>
      <c r="Z14" s="577"/>
      <c r="AA14" s="577"/>
      <c r="AB14" s="577"/>
      <c r="AC14" s="577"/>
      <c r="AD14" s="577"/>
      <c r="AE14" s="577"/>
      <c r="AF14" s="577"/>
      <c r="AG14" s="577"/>
      <c r="AH14" s="577"/>
      <c r="AI14" s="577"/>
      <c r="AJ14" s="577"/>
      <c r="AK14" s="577"/>
      <c r="AL14" s="577"/>
      <c r="AM14" s="577"/>
      <c r="AN14" s="577"/>
      <c r="AO14" s="577"/>
      <c r="AP14" s="577"/>
      <c r="AQ14" s="577"/>
      <c r="AR14" s="577"/>
      <c r="AS14" s="577"/>
      <c r="AT14" s="577"/>
      <c r="AU14" s="577"/>
      <c r="AV14" s="577"/>
      <c r="AW14" s="577"/>
      <c r="AX14" s="577"/>
      <c r="AY14" s="577"/>
      <c r="AZ14" s="577"/>
    </row>
    <row r="15" spans="1:52" ht="15.75" customHeight="1" x14ac:dyDescent="0.2">
      <c r="A15" s="584"/>
      <c r="B15" s="590">
        <v>2014</v>
      </c>
      <c r="C15" s="610">
        <v>196</v>
      </c>
      <c r="D15" s="581"/>
      <c r="E15" s="581"/>
      <c r="F15" s="581"/>
      <c r="G15" s="581"/>
      <c r="H15" s="581"/>
      <c r="I15" s="581"/>
      <c r="J15" s="581"/>
      <c r="K15" s="581"/>
      <c r="L15" s="581"/>
      <c r="M15" s="582"/>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N15" s="577"/>
      <c r="AO15" s="577"/>
      <c r="AP15" s="577"/>
      <c r="AQ15" s="577"/>
      <c r="AR15" s="577"/>
      <c r="AS15" s="577"/>
      <c r="AT15" s="577"/>
      <c r="AU15" s="577"/>
      <c r="AV15" s="577"/>
      <c r="AW15" s="577"/>
      <c r="AX15" s="577"/>
      <c r="AY15" s="577"/>
      <c r="AZ15" s="577"/>
    </row>
    <row r="16" spans="1:52" ht="15.75" customHeight="1" x14ac:dyDescent="0.2">
      <c r="A16" s="584"/>
      <c r="B16" s="595">
        <v>2015</v>
      </c>
      <c r="C16" s="611">
        <v>195</v>
      </c>
      <c r="D16" s="581"/>
      <c r="E16" s="581"/>
      <c r="F16" s="581"/>
      <c r="G16" s="581"/>
      <c r="H16" s="581"/>
      <c r="I16" s="581"/>
      <c r="J16" s="581"/>
      <c r="K16" s="581"/>
      <c r="L16" s="581"/>
      <c r="M16" s="582"/>
      <c r="N16" s="577"/>
      <c r="O16" s="577"/>
      <c r="P16" s="577"/>
      <c r="Q16" s="577"/>
      <c r="R16" s="577"/>
      <c r="S16" s="577"/>
      <c r="T16" s="577"/>
      <c r="U16" s="577"/>
      <c r="V16" s="577"/>
      <c r="W16" s="577"/>
      <c r="X16" s="577"/>
      <c r="Y16" s="577"/>
      <c r="Z16" s="577"/>
      <c r="AA16" s="577"/>
      <c r="AB16" s="577"/>
      <c r="AC16" s="577"/>
      <c r="AD16" s="577"/>
      <c r="AE16" s="577"/>
      <c r="AF16" s="577"/>
      <c r="AG16" s="577"/>
      <c r="AH16" s="577"/>
      <c r="AI16" s="577"/>
      <c r="AJ16" s="577"/>
      <c r="AK16" s="577"/>
      <c r="AL16" s="577"/>
      <c r="AM16" s="577"/>
      <c r="AN16" s="577"/>
      <c r="AO16" s="577"/>
      <c r="AP16" s="577"/>
      <c r="AQ16" s="577"/>
      <c r="AR16" s="577"/>
      <c r="AS16" s="577"/>
      <c r="AT16" s="577"/>
      <c r="AU16" s="577"/>
      <c r="AV16" s="577"/>
      <c r="AW16" s="577"/>
      <c r="AX16" s="577"/>
      <c r="AY16" s="577"/>
      <c r="AZ16" s="577"/>
    </row>
    <row r="17" spans="1:52" ht="15.75" customHeight="1" x14ac:dyDescent="0.2">
      <c r="A17" s="584"/>
      <c r="B17" s="595">
        <v>2016</v>
      </c>
      <c r="C17" s="611">
        <v>198</v>
      </c>
      <c r="D17" s="581"/>
      <c r="E17" s="581"/>
      <c r="F17" s="581"/>
      <c r="G17" s="581"/>
      <c r="H17" s="581"/>
      <c r="I17" s="581"/>
      <c r="J17" s="581"/>
      <c r="K17" s="581"/>
      <c r="L17" s="581"/>
      <c r="M17" s="582"/>
      <c r="N17" s="577"/>
      <c r="O17" s="577"/>
      <c r="P17" s="577"/>
      <c r="Q17" s="577"/>
      <c r="R17" s="577"/>
      <c r="S17" s="577"/>
      <c r="T17" s="577"/>
      <c r="U17" s="577"/>
      <c r="V17" s="577"/>
      <c r="W17" s="577"/>
      <c r="X17" s="577"/>
      <c r="Y17" s="577"/>
      <c r="Z17" s="577"/>
      <c r="AA17" s="577"/>
      <c r="AB17" s="577"/>
      <c r="AC17" s="577"/>
      <c r="AD17" s="577"/>
      <c r="AE17" s="577"/>
      <c r="AF17" s="577"/>
      <c r="AG17" s="577"/>
      <c r="AH17" s="577"/>
      <c r="AI17" s="577"/>
      <c r="AJ17" s="577"/>
      <c r="AK17" s="577"/>
      <c r="AL17" s="577"/>
      <c r="AM17" s="577"/>
      <c r="AN17" s="577"/>
      <c r="AO17" s="577"/>
      <c r="AP17" s="577"/>
      <c r="AQ17" s="577"/>
      <c r="AR17" s="577"/>
      <c r="AS17" s="577"/>
      <c r="AT17" s="577"/>
      <c r="AU17" s="577"/>
      <c r="AV17" s="577"/>
      <c r="AW17" s="577"/>
      <c r="AX17" s="577"/>
      <c r="AY17" s="577"/>
      <c r="AZ17" s="577"/>
    </row>
    <row r="18" spans="1:52" ht="15.75" customHeight="1" thickBot="1" x14ac:dyDescent="0.25">
      <c r="A18" s="584"/>
      <c r="B18" s="601">
        <v>2017</v>
      </c>
      <c r="C18" s="612">
        <v>200</v>
      </c>
      <c r="D18" s="581"/>
      <c r="E18" s="581"/>
      <c r="F18" s="581"/>
      <c r="G18" s="581"/>
      <c r="H18" s="581"/>
      <c r="I18" s="581"/>
      <c r="J18" s="581"/>
      <c r="K18" s="581"/>
      <c r="L18" s="581"/>
      <c r="M18" s="582"/>
      <c r="N18" s="577"/>
      <c r="O18" s="577"/>
      <c r="P18" s="577"/>
      <c r="Q18" s="577"/>
      <c r="R18" s="577"/>
      <c r="S18" s="577"/>
      <c r="T18" s="577"/>
      <c r="U18" s="577"/>
      <c r="V18" s="577"/>
      <c r="W18" s="577"/>
      <c r="X18" s="577"/>
      <c r="Y18" s="577"/>
      <c r="Z18" s="577"/>
      <c r="AA18" s="577"/>
      <c r="AB18" s="577"/>
      <c r="AC18" s="577"/>
      <c r="AD18" s="577"/>
      <c r="AE18" s="577"/>
      <c r="AF18" s="577"/>
      <c r="AG18" s="577"/>
      <c r="AH18" s="577"/>
      <c r="AI18" s="577"/>
      <c r="AJ18" s="577"/>
      <c r="AK18" s="577"/>
      <c r="AL18" s="577"/>
      <c r="AM18" s="577"/>
      <c r="AN18" s="577"/>
      <c r="AO18" s="577"/>
      <c r="AP18" s="577"/>
      <c r="AQ18" s="577"/>
      <c r="AR18" s="577"/>
      <c r="AS18" s="577"/>
      <c r="AT18" s="577"/>
      <c r="AU18" s="577"/>
      <c r="AV18" s="577"/>
      <c r="AW18" s="577"/>
      <c r="AX18" s="577"/>
      <c r="AY18" s="577"/>
      <c r="AZ18" s="577"/>
    </row>
    <row r="19" spans="1:52" ht="15.75" customHeight="1" thickBot="1" x14ac:dyDescent="0.25">
      <c r="A19" s="584"/>
      <c r="B19" s="581"/>
      <c r="C19" s="581"/>
      <c r="D19" s="581"/>
      <c r="E19" s="581"/>
      <c r="F19" s="581"/>
      <c r="G19" s="581"/>
      <c r="H19" s="581"/>
      <c r="I19" s="581"/>
      <c r="J19" s="581"/>
      <c r="K19" s="581"/>
      <c r="L19" s="581"/>
      <c r="M19" s="582"/>
      <c r="N19" s="577"/>
      <c r="O19" s="577"/>
      <c r="P19" s="577"/>
      <c r="Q19" s="577"/>
      <c r="R19" s="577"/>
      <c r="S19" s="577"/>
      <c r="T19" s="577"/>
      <c r="U19" s="577"/>
      <c r="V19" s="577"/>
      <c r="W19" s="577"/>
      <c r="X19" s="577"/>
      <c r="Y19" s="577"/>
      <c r="Z19" s="577"/>
      <c r="AA19" s="577"/>
      <c r="AB19" s="577"/>
      <c r="AC19" s="577"/>
      <c r="AD19" s="577"/>
      <c r="AE19" s="577"/>
      <c r="AF19" s="577"/>
      <c r="AG19" s="577"/>
      <c r="AH19" s="577"/>
      <c r="AI19" s="577"/>
      <c r="AJ19" s="577"/>
      <c r="AK19" s="577"/>
      <c r="AL19" s="577"/>
      <c r="AM19" s="577"/>
      <c r="AN19" s="577"/>
      <c r="AO19" s="577"/>
      <c r="AP19" s="577"/>
      <c r="AQ19" s="577"/>
      <c r="AR19" s="577"/>
      <c r="AS19" s="577"/>
      <c r="AT19" s="577"/>
      <c r="AU19" s="577"/>
      <c r="AV19" s="577"/>
      <c r="AW19" s="577"/>
      <c r="AX19" s="577"/>
      <c r="AY19" s="577"/>
      <c r="AZ19" s="577"/>
    </row>
    <row r="20" spans="1:52" ht="15.75" customHeight="1" thickBot="1" x14ac:dyDescent="0.25">
      <c r="A20" s="584"/>
      <c r="B20" s="613">
        <v>0.03</v>
      </c>
      <c r="C20" s="614" t="s">
        <v>573</v>
      </c>
      <c r="D20" s="615"/>
      <c r="E20" s="581"/>
      <c r="F20" s="581"/>
      <c r="G20" s="581"/>
      <c r="H20" s="581"/>
      <c r="I20" s="581"/>
      <c r="J20" s="581"/>
      <c r="K20" s="581"/>
      <c r="L20" s="581"/>
      <c r="M20" s="582"/>
      <c r="N20" s="577"/>
      <c r="O20" s="577"/>
      <c r="P20" s="577"/>
      <c r="Q20" s="577"/>
      <c r="R20" s="577"/>
      <c r="S20" s="577"/>
      <c r="T20" s="577"/>
      <c r="U20" s="577"/>
      <c r="V20" s="577"/>
      <c r="W20" s="577"/>
      <c r="X20" s="577"/>
      <c r="Y20" s="577"/>
      <c r="Z20" s="577"/>
      <c r="AA20" s="577"/>
      <c r="AB20" s="577"/>
      <c r="AC20" s="577"/>
      <c r="AD20" s="577"/>
      <c r="AE20" s="577"/>
      <c r="AF20" s="577"/>
      <c r="AG20" s="577"/>
      <c r="AH20" s="577"/>
      <c r="AI20" s="577"/>
      <c r="AJ20" s="577"/>
      <c r="AK20" s="577"/>
      <c r="AL20" s="577"/>
      <c r="AM20" s="577"/>
      <c r="AN20" s="577"/>
      <c r="AO20" s="577"/>
      <c r="AP20" s="577"/>
      <c r="AQ20" s="577"/>
      <c r="AR20" s="577"/>
      <c r="AS20" s="577"/>
      <c r="AT20" s="577"/>
      <c r="AU20" s="577"/>
      <c r="AV20" s="577"/>
      <c r="AW20" s="577"/>
      <c r="AX20" s="577"/>
      <c r="AY20" s="577"/>
      <c r="AZ20" s="577"/>
    </row>
    <row r="21" spans="1:52" ht="15.75" customHeight="1" x14ac:dyDescent="0.2">
      <c r="A21" s="584"/>
      <c r="B21" s="569"/>
      <c r="C21" s="581"/>
      <c r="D21" s="581"/>
      <c r="E21" s="581"/>
      <c r="F21" s="581"/>
      <c r="G21" s="581"/>
      <c r="H21" s="581"/>
      <c r="I21" s="581"/>
      <c r="J21" s="581"/>
      <c r="K21" s="581"/>
      <c r="L21" s="581"/>
      <c r="M21" s="582"/>
      <c r="N21" s="577"/>
      <c r="O21" s="577"/>
      <c r="P21" s="577"/>
      <c r="Q21" s="577"/>
      <c r="R21" s="577"/>
      <c r="S21" s="577"/>
      <c r="T21" s="577"/>
      <c r="U21" s="577"/>
      <c r="V21" s="577"/>
      <c r="W21" s="577"/>
      <c r="X21" s="577"/>
      <c r="Y21" s="577"/>
      <c r="Z21" s="577"/>
      <c r="AA21" s="577"/>
      <c r="AB21" s="577"/>
      <c r="AC21" s="577"/>
      <c r="AD21" s="577"/>
      <c r="AE21" s="577"/>
      <c r="AF21" s="577"/>
      <c r="AG21" s="577"/>
      <c r="AH21" s="577"/>
      <c r="AI21" s="577"/>
      <c r="AJ21" s="577"/>
      <c r="AK21" s="577"/>
      <c r="AL21" s="577"/>
      <c r="AM21" s="577"/>
      <c r="AN21" s="577"/>
      <c r="AO21" s="577"/>
      <c r="AP21" s="577"/>
      <c r="AQ21" s="577"/>
      <c r="AR21" s="577"/>
      <c r="AS21" s="577"/>
      <c r="AT21" s="577"/>
      <c r="AU21" s="577"/>
      <c r="AV21" s="577"/>
      <c r="AW21" s="577"/>
      <c r="AX21" s="577"/>
      <c r="AY21" s="577"/>
      <c r="AZ21" s="577"/>
    </row>
    <row r="22" spans="1:52" ht="15.75" customHeight="1" x14ac:dyDescent="0.2">
      <c r="A22" s="584"/>
      <c r="B22" s="569" t="s">
        <v>574</v>
      </c>
      <c r="C22" s="581"/>
      <c r="D22" s="581"/>
      <c r="E22" s="581"/>
      <c r="F22" s="581"/>
      <c r="G22" s="581"/>
      <c r="H22" s="581"/>
      <c r="I22" s="581"/>
      <c r="J22" s="581"/>
      <c r="K22" s="581"/>
      <c r="L22" s="581"/>
      <c r="M22" s="582"/>
      <c r="N22" s="577"/>
      <c r="O22" s="577"/>
      <c r="P22" s="577"/>
      <c r="Q22" s="577"/>
      <c r="R22" s="577"/>
      <c r="S22" s="577"/>
      <c r="T22" s="577"/>
      <c r="U22" s="577"/>
      <c r="V22" s="577"/>
      <c r="W22" s="577"/>
      <c r="X22" s="577"/>
      <c r="Y22" s="577"/>
      <c r="Z22" s="577"/>
      <c r="AA22" s="577"/>
      <c r="AB22" s="577"/>
      <c r="AC22" s="577"/>
      <c r="AD22" s="577"/>
      <c r="AE22" s="577"/>
      <c r="AF22" s="577"/>
      <c r="AG22" s="577"/>
      <c r="AH22" s="577"/>
      <c r="AI22" s="577"/>
      <c r="AJ22" s="577"/>
      <c r="AK22" s="577"/>
      <c r="AL22" s="577"/>
      <c r="AM22" s="577"/>
      <c r="AN22" s="577"/>
      <c r="AO22" s="577"/>
      <c r="AP22" s="577"/>
      <c r="AQ22" s="577"/>
      <c r="AR22" s="577"/>
      <c r="AS22" s="577"/>
      <c r="AT22" s="577"/>
      <c r="AU22" s="577"/>
      <c r="AV22" s="577"/>
      <c r="AW22" s="577"/>
      <c r="AX22" s="577"/>
      <c r="AY22" s="577"/>
      <c r="AZ22" s="577"/>
    </row>
    <row r="23" spans="1:52" ht="15.75" customHeight="1" x14ac:dyDescent="0.2">
      <c r="A23" s="584"/>
      <c r="B23" s="569" t="s">
        <v>575</v>
      </c>
      <c r="C23" s="581"/>
      <c r="D23" s="581"/>
      <c r="E23" s="581"/>
      <c r="F23" s="581"/>
      <c r="G23" s="581"/>
      <c r="H23" s="581"/>
      <c r="I23" s="581"/>
      <c r="J23" s="581"/>
      <c r="K23" s="581"/>
      <c r="L23" s="581"/>
      <c r="M23" s="582"/>
      <c r="N23" s="577"/>
      <c r="O23" s="577"/>
      <c r="P23" s="577"/>
      <c r="Q23" s="577"/>
      <c r="R23" s="577"/>
      <c r="S23" s="577"/>
      <c r="T23" s="577"/>
      <c r="U23" s="577"/>
      <c r="V23" s="577"/>
      <c r="W23" s="577"/>
      <c r="X23" s="577"/>
      <c r="Y23" s="577"/>
      <c r="Z23" s="577"/>
      <c r="AA23" s="577"/>
      <c r="AB23" s="577"/>
      <c r="AC23" s="577"/>
      <c r="AD23" s="577"/>
      <c r="AE23" s="577"/>
      <c r="AF23" s="577"/>
      <c r="AG23" s="577"/>
      <c r="AH23" s="577"/>
      <c r="AI23" s="577"/>
      <c r="AJ23" s="577"/>
      <c r="AK23" s="577"/>
      <c r="AL23" s="577"/>
      <c r="AM23" s="577"/>
      <c r="AN23" s="577"/>
      <c r="AO23" s="577"/>
      <c r="AP23" s="577"/>
      <c r="AQ23" s="577"/>
      <c r="AR23" s="577"/>
      <c r="AS23" s="577"/>
      <c r="AT23" s="577"/>
      <c r="AU23" s="577"/>
      <c r="AV23" s="577"/>
      <c r="AW23" s="577"/>
      <c r="AX23" s="577"/>
      <c r="AY23" s="577"/>
      <c r="AZ23" s="577"/>
    </row>
    <row r="24" spans="1:52" ht="15.75" customHeight="1" x14ac:dyDescent="0.2">
      <c r="A24" s="584"/>
      <c r="B24" s="569"/>
      <c r="C24" s="581"/>
      <c r="D24" s="581"/>
      <c r="E24" s="581"/>
      <c r="F24" s="581"/>
      <c r="G24" s="581"/>
      <c r="H24" s="581"/>
      <c r="I24" s="581"/>
      <c r="J24" s="581"/>
      <c r="K24" s="581"/>
      <c r="L24" s="581"/>
      <c r="M24" s="582"/>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c r="AL24" s="577"/>
      <c r="AM24" s="577"/>
      <c r="AN24" s="577"/>
      <c r="AO24" s="577"/>
      <c r="AP24" s="577"/>
      <c r="AQ24" s="577"/>
      <c r="AR24" s="577"/>
      <c r="AS24" s="577"/>
      <c r="AT24" s="577"/>
      <c r="AU24" s="577"/>
      <c r="AV24" s="577"/>
      <c r="AW24" s="577"/>
      <c r="AX24" s="577"/>
      <c r="AY24" s="577"/>
      <c r="AZ24" s="577"/>
    </row>
    <row r="25" spans="1:52" ht="15.75" customHeight="1" x14ac:dyDescent="0.2">
      <c r="A25" s="584"/>
      <c r="B25" s="569" t="s">
        <v>576</v>
      </c>
      <c r="C25" s="581"/>
      <c r="D25" s="581"/>
      <c r="E25" s="581"/>
      <c r="F25" s="581"/>
      <c r="G25" s="581"/>
      <c r="H25" s="581"/>
      <c r="I25" s="581"/>
      <c r="J25" s="581"/>
      <c r="K25" s="581"/>
      <c r="L25" s="581"/>
      <c r="M25" s="582"/>
      <c r="N25" s="577"/>
      <c r="O25" s="577"/>
      <c r="P25" s="577"/>
      <c r="Q25" s="577"/>
      <c r="R25" s="577"/>
      <c r="S25" s="577"/>
      <c r="T25" s="577"/>
      <c r="U25" s="577"/>
      <c r="V25" s="577"/>
      <c r="W25" s="577"/>
      <c r="X25" s="577"/>
      <c r="Y25" s="577"/>
      <c r="Z25" s="577"/>
      <c r="AA25" s="577"/>
      <c r="AB25" s="577"/>
      <c r="AC25" s="577"/>
      <c r="AD25" s="577"/>
      <c r="AE25" s="577"/>
      <c r="AF25" s="577"/>
      <c r="AG25" s="577"/>
      <c r="AH25" s="577"/>
      <c r="AI25" s="577"/>
      <c r="AJ25" s="577"/>
      <c r="AK25" s="577"/>
      <c r="AL25" s="577"/>
      <c r="AM25" s="577"/>
      <c r="AN25" s="577"/>
      <c r="AO25" s="577"/>
      <c r="AP25" s="577"/>
      <c r="AQ25" s="577"/>
      <c r="AR25" s="577"/>
      <c r="AS25" s="577"/>
      <c r="AT25" s="577"/>
      <c r="AU25" s="577"/>
      <c r="AV25" s="577"/>
      <c r="AW25" s="577"/>
      <c r="AX25" s="577"/>
      <c r="AY25" s="577"/>
      <c r="AZ25" s="577"/>
    </row>
    <row r="26" spans="1:52" ht="15.75" customHeight="1" thickBot="1" x14ac:dyDescent="0.25">
      <c r="A26" s="616"/>
      <c r="B26" s="617"/>
      <c r="C26" s="617"/>
      <c r="D26" s="617"/>
      <c r="E26" s="617"/>
      <c r="F26" s="617"/>
      <c r="G26" s="617"/>
      <c r="H26" s="617"/>
      <c r="I26" s="617"/>
      <c r="J26" s="617"/>
      <c r="K26" s="617"/>
      <c r="L26" s="617"/>
      <c r="M26" s="618"/>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row>
    <row r="27" spans="1:52" ht="15.75" customHeight="1" x14ac:dyDescent="0.2">
      <c r="A27" s="577"/>
      <c r="B27" s="577"/>
      <c r="C27" s="577"/>
      <c r="D27" s="577"/>
      <c r="E27" s="577"/>
      <c r="F27" s="577"/>
      <c r="G27" s="577"/>
      <c r="H27" s="577"/>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7"/>
      <c r="AF27" s="577"/>
      <c r="AG27" s="577"/>
      <c r="AH27" s="577"/>
      <c r="AI27" s="577"/>
      <c r="AJ27" s="577"/>
      <c r="AK27" s="577"/>
      <c r="AL27" s="577"/>
      <c r="AM27" s="577"/>
      <c r="AN27" s="577"/>
      <c r="AO27" s="577"/>
      <c r="AP27" s="577"/>
      <c r="AQ27" s="577"/>
      <c r="AR27" s="577"/>
      <c r="AS27" s="577"/>
      <c r="AT27" s="577"/>
      <c r="AU27" s="577"/>
      <c r="AV27" s="577"/>
      <c r="AW27" s="577"/>
      <c r="AX27" s="577"/>
      <c r="AY27" s="577"/>
      <c r="AZ27" s="577"/>
    </row>
    <row r="28" spans="1:52" ht="15.75" customHeight="1" x14ac:dyDescent="0.2">
      <c r="A28" s="577"/>
      <c r="B28" s="577"/>
      <c r="C28" s="577"/>
      <c r="D28" s="577"/>
      <c r="E28" s="577"/>
      <c r="F28" s="577"/>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7"/>
      <c r="AO28" s="577"/>
      <c r="AP28" s="577"/>
      <c r="AQ28" s="577"/>
      <c r="AR28" s="577"/>
      <c r="AS28" s="577"/>
      <c r="AT28" s="577"/>
      <c r="AU28" s="577"/>
      <c r="AV28" s="577"/>
      <c r="AW28" s="577"/>
      <c r="AX28" s="577"/>
      <c r="AY28" s="577"/>
      <c r="AZ28" s="577"/>
    </row>
    <row r="29" spans="1:52" ht="15.75" customHeight="1" x14ac:dyDescent="0.2">
      <c r="A29" s="577"/>
      <c r="B29" s="577"/>
      <c r="C29" s="619">
        <f>C8/$C15</f>
        <v>0.86734693877551017</v>
      </c>
      <c r="D29" s="619">
        <f t="shared" ref="D29:F29" si="0">D8/$C15</f>
        <v>0.93877551020408168</v>
      </c>
      <c r="E29" s="619">
        <f t="shared" si="0"/>
        <v>0.96938775510204078</v>
      </c>
      <c r="F29" s="619">
        <f t="shared" si="0"/>
        <v>1</v>
      </c>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c r="AK29" s="577"/>
      <c r="AL29" s="577"/>
      <c r="AM29" s="577"/>
      <c r="AN29" s="577"/>
      <c r="AO29" s="577"/>
      <c r="AP29" s="577"/>
      <c r="AQ29" s="577"/>
      <c r="AR29" s="577"/>
      <c r="AS29" s="577"/>
      <c r="AT29" s="577"/>
      <c r="AU29" s="577"/>
      <c r="AV29" s="577"/>
      <c r="AW29" s="577"/>
      <c r="AX29" s="577"/>
      <c r="AY29" s="577"/>
      <c r="AZ29" s="577"/>
    </row>
    <row r="30" spans="1:52" ht="15.75" customHeight="1" x14ac:dyDescent="0.2">
      <c r="A30" s="577"/>
      <c r="B30" s="577"/>
      <c r="C30" s="619">
        <f t="shared" ref="C30:E32" si="1">C9/$C16</f>
        <v>0.89743589743589747</v>
      </c>
      <c r="D30" s="619">
        <f t="shared" si="1"/>
        <v>0.9538461538461539</v>
      </c>
      <c r="E30" s="619">
        <f t="shared" si="1"/>
        <v>0.99487179487179489</v>
      </c>
      <c r="F30" s="619"/>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577"/>
      <c r="AJ30" s="577"/>
      <c r="AK30" s="577"/>
      <c r="AL30" s="577"/>
      <c r="AM30" s="577"/>
      <c r="AN30" s="577"/>
      <c r="AO30" s="577"/>
      <c r="AP30" s="577"/>
      <c r="AQ30" s="577"/>
      <c r="AR30" s="577"/>
      <c r="AS30" s="577"/>
      <c r="AT30" s="577"/>
      <c r="AU30" s="577"/>
      <c r="AV30" s="577"/>
      <c r="AW30" s="577"/>
      <c r="AX30" s="577"/>
      <c r="AY30" s="577"/>
      <c r="AZ30" s="577"/>
    </row>
    <row r="31" spans="1:52" ht="15.75" customHeight="1" x14ac:dyDescent="0.2">
      <c r="A31" s="577"/>
      <c r="B31" s="577"/>
      <c r="C31" s="619">
        <f t="shared" si="1"/>
        <v>0.89898989898989901</v>
      </c>
      <c r="D31" s="619">
        <f t="shared" si="1"/>
        <v>0.95959595959595956</v>
      </c>
      <c r="E31" s="619"/>
      <c r="F31" s="619"/>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row>
    <row r="32" spans="1:52" ht="15.75" customHeight="1" x14ac:dyDescent="0.2">
      <c r="A32" s="577"/>
      <c r="B32" s="577"/>
      <c r="C32" s="619">
        <f t="shared" si="1"/>
        <v>0.92500000000000004</v>
      </c>
      <c r="D32" s="619"/>
      <c r="E32" s="619"/>
      <c r="F32" s="619"/>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577"/>
      <c r="AJ32" s="577"/>
      <c r="AK32" s="577"/>
      <c r="AL32" s="577"/>
      <c r="AM32" s="577"/>
      <c r="AN32" s="577"/>
      <c r="AO32" s="577"/>
      <c r="AP32" s="577"/>
      <c r="AQ32" s="577"/>
      <c r="AR32" s="577"/>
      <c r="AS32" s="577"/>
      <c r="AT32" s="577"/>
      <c r="AU32" s="577"/>
      <c r="AV32" s="577"/>
      <c r="AW32" s="577"/>
      <c r="AX32" s="577"/>
      <c r="AY32" s="577"/>
      <c r="AZ32" s="577"/>
    </row>
    <row r="33" spans="1:52" ht="15.75" customHeight="1" x14ac:dyDescent="0.2">
      <c r="A33" s="577"/>
      <c r="B33" s="577"/>
      <c r="C33" s="619"/>
      <c r="D33" s="619"/>
      <c r="E33" s="619"/>
      <c r="F33" s="619"/>
      <c r="G33" s="577"/>
      <c r="H33" s="577"/>
      <c r="I33" s="577"/>
      <c r="J33" s="577"/>
      <c r="K33" s="577"/>
      <c r="L33" s="577"/>
      <c r="M33" s="577"/>
      <c r="N33" s="577"/>
      <c r="O33" s="577"/>
      <c r="P33" s="577"/>
      <c r="Q33" s="577"/>
      <c r="R33" s="577"/>
      <c r="S33" s="577"/>
      <c r="T33" s="577"/>
      <c r="U33" s="577"/>
      <c r="V33" s="577"/>
      <c r="W33" s="577"/>
      <c r="X33" s="577"/>
      <c r="Y33" s="577"/>
      <c r="Z33" s="577"/>
      <c r="AA33" s="577"/>
      <c r="AB33" s="577"/>
      <c r="AC33" s="577"/>
      <c r="AD33" s="577"/>
      <c r="AE33" s="577"/>
      <c r="AF33" s="577"/>
      <c r="AG33" s="577"/>
      <c r="AH33" s="577"/>
      <c r="AI33" s="577"/>
      <c r="AJ33" s="577"/>
      <c r="AK33" s="577"/>
      <c r="AL33" s="577"/>
      <c r="AM33" s="577"/>
      <c r="AN33" s="577"/>
      <c r="AO33" s="577"/>
      <c r="AP33" s="577"/>
      <c r="AQ33" s="577"/>
      <c r="AR33" s="577"/>
      <c r="AS33" s="577"/>
      <c r="AT33" s="577"/>
      <c r="AU33" s="577"/>
      <c r="AV33" s="577"/>
      <c r="AW33" s="577"/>
      <c r="AX33" s="577"/>
      <c r="AY33" s="577"/>
      <c r="AZ33" s="577"/>
    </row>
    <row r="34" spans="1:52" ht="15.75" customHeight="1" x14ac:dyDescent="0.2">
      <c r="A34" s="577" t="s">
        <v>577</v>
      </c>
      <c r="B34" s="577"/>
      <c r="C34" s="619">
        <f>AVERAGE(C29:C32)</f>
        <v>0.89719318380032664</v>
      </c>
      <c r="D34" s="619">
        <f t="shared" ref="D34:F34" si="2">AVERAGE(D29:D32)</f>
        <v>0.95073920788206501</v>
      </c>
      <c r="E34" s="619">
        <f t="shared" si="2"/>
        <v>0.98212977498691778</v>
      </c>
      <c r="F34" s="619">
        <f t="shared" si="2"/>
        <v>1</v>
      </c>
      <c r="G34" s="577"/>
      <c r="H34" s="577"/>
      <c r="I34" s="577"/>
      <c r="J34" s="577"/>
      <c r="K34" s="577"/>
      <c r="L34" s="577"/>
      <c r="M34" s="577"/>
      <c r="N34" s="577"/>
      <c r="O34" s="577"/>
      <c r="P34" s="577"/>
      <c r="Q34" s="577"/>
      <c r="R34" s="577"/>
      <c r="S34" s="577"/>
      <c r="T34" s="577"/>
      <c r="U34" s="577"/>
      <c r="V34" s="577"/>
      <c r="W34" s="577"/>
      <c r="X34" s="577"/>
      <c r="Y34" s="577"/>
      <c r="Z34" s="577"/>
      <c r="AA34" s="577"/>
      <c r="AB34" s="577"/>
      <c r="AC34" s="577"/>
      <c r="AD34" s="577"/>
      <c r="AE34" s="577"/>
      <c r="AF34" s="577"/>
      <c r="AG34" s="577"/>
      <c r="AH34" s="577"/>
      <c r="AI34" s="577"/>
      <c r="AJ34" s="577"/>
      <c r="AK34" s="577"/>
      <c r="AL34" s="577"/>
      <c r="AM34" s="577"/>
      <c r="AN34" s="577"/>
      <c r="AO34" s="577"/>
      <c r="AP34" s="577"/>
      <c r="AQ34" s="577"/>
      <c r="AR34" s="577"/>
      <c r="AS34" s="577"/>
      <c r="AT34" s="577"/>
      <c r="AU34" s="577"/>
      <c r="AV34" s="577"/>
      <c r="AW34" s="577"/>
      <c r="AX34" s="577"/>
      <c r="AY34" s="577"/>
      <c r="AZ34" s="577"/>
    </row>
    <row r="35" spans="1:52" ht="15.75" customHeight="1" x14ac:dyDescent="0.2">
      <c r="A35" s="577"/>
      <c r="B35" s="577"/>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577"/>
      <c r="AJ35" s="577"/>
      <c r="AK35" s="577"/>
      <c r="AL35" s="577"/>
      <c r="AM35" s="577"/>
      <c r="AN35" s="577"/>
      <c r="AO35" s="577"/>
      <c r="AP35" s="577"/>
      <c r="AQ35" s="577"/>
      <c r="AR35" s="577"/>
      <c r="AS35" s="577"/>
      <c r="AT35" s="577"/>
      <c r="AU35" s="577"/>
      <c r="AV35" s="577"/>
      <c r="AW35" s="577"/>
      <c r="AX35" s="577"/>
      <c r="AY35" s="577"/>
      <c r="AZ35" s="577"/>
    </row>
    <row r="36" spans="1:52" ht="15.75" customHeight="1" x14ac:dyDescent="0.2">
      <c r="A36" s="577"/>
      <c r="B36" s="577" t="s">
        <v>135</v>
      </c>
      <c r="C36" s="577" t="s">
        <v>570</v>
      </c>
      <c r="D36" s="577"/>
      <c r="E36" s="577"/>
      <c r="F36" s="577"/>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577"/>
      <c r="AJ36" s="577"/>
      <c r="AK36" s="577"/>
      <c r="AL36" s="577"/>
      <c r="AM36" s="577"/>
      <c r="AN36" s="577"/>
      <c r="AO36" s="577"/>
      <c r="AP36" s="577"/>
      <c r="AQ36" s="577"/>
      <c r="AR36" s="577"/>
      <c r="AS36" s="577"/>
      <c r="AT36" s="577"/>
      <c r="AU36" s="577"/>
      <c r="AV36" s="577"/>
      <c r="AW36" s="577"/>
      <c r="AX36" s="577"/>
      <c r="AY36" s="577"/>
      <c r="AZ36" s="577"/>
    </row>
    <row r="37" spans="1:52" ht="15.75" customHeight="1" x14ac:dyDescent="0.2">
      <c r="A37" s="577"/>
      <c r="B37" s="577" t="s">
        <v>83</v>
      </c>
      <c r="C37" s="577">
        <v>12</v>
      </c>
      <c r="D37" s="577">
        <v>24</v>
      </c>
      <c r="E37" s="577">
        <v>36</v>
      </c>
      <c r="F37" s="577">
        <v>48</v>
      </c>
      <c r="G37" s="577"/>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577"/>
      <c r="AJ37" s="577"/>
      <c r="AK37" s="577"/>
      <c r="AL37" s="577"/>
      <c r="AM37" s="577"/>
      <c r="AN37" s="577"/>
      <c r="AO37" s="577"/>
      <c r="AP37" s="577"/>
      <c r="AQ37" s="577"/>
      <c r="AR37" s="577"/>
      <c r="AS37" s="577"/>
      <c r="AT37" s="577"/>
      <c r="AU37" s="577"/>
      <c r="AV37" s="577"/>
      <c r="AW37" s="577"/>
      <c r="AX37" s="577"/>
      <c r="AY37" s="577"/>
      <c r="AZ37" s="577"/>
    </row>
    <row r="38" spans="1:52" ht="15.75" customHeight="1" x14ac:dyDescent="0.2">
      <c r="A38" s="577"/>
      <c r="B38" s="577">
        <v>2014</v>
      </c>
      <c r="C38" s="620">
        <v>7500</v>
      </c>
      <c r="D38" s="620">
        <v>12800</v>
      </c>
      <c r="E38" s="620">
        <v>18000</v>
      </c>
      <c r="F38" s="620">
        <v>25000</v>
      </c>
      <c r="G38" s="577"/>
      <c r="H38" s="577"/>
      <c r="I38" s="577"/>
      <c r="J38" s="577"/>
      <c r="K38" s="577"/>
      <c r="L38" s="57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577"/>
      <c r="AJ38" s="577"/>
      <c r="AK38" s="577"/>
      <c r="AL38" s="577"/>
      <c r="AM38" s="577"/>
      <c r="AN38" s="577"/>
      <c r="AO38" s="577"/>
      <c r="AP38" s="577"/>
      <c r="AQ38" s="577"/>
      <c r="AR38" s="577"/>
      <c r="AS38" s="577"/>
      <c r="AT38" s="577"/>
      <c r="AU38" s="577"/>
      <c r="AV38" s="577"/>
      <c r="AW38" s="577"/>
      <c r="AX38" s="577"/>
      <c r="AY38" s="577"/>
      <c r="AZ38" s="577"/>
    </row>
    <row r="39" spans="1:52" ht="15.75" customHeight="1" x14ac:dyDescent="0.2">
      <c r="A39" s="577"/>
      <c r="B39" s="577">
        <v>2015</v>
      </c>
      <c r="C39" s="620">
        <v>7250</v>
      </c>
      <c r="D39" s="620">
        <v>13000</v>
      </c>
      <c r="E39" s="620">
        <v>18500</v>
      </c>
      <c r="F39" s="620"/>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577"/>
      <c r="AJ39" s="577"/>
      <c r="AK39" s="577"/>
      <c r="AL39" s="577"/>
      <c r="AM39" s="577"/>
      <c r="AN39" s="577"/>
      <c r="AO39" s="577"/>
      <c r="AP39" s="577"/>
      <c r="AQ39" s="577"/>
      <c r="AR39" s="577"/>
      <c r="AS39" s="577"/>
      <c r="AT39" s="577"/>
      <c r="AU39" s="577"/>
      <c r="AV39" s="577"/>
      <c r="AW39" s="577"/>
      <c r="AX39" s="577"/>
      <c r="AY39" s="577"/>
      <c r="AZ39" s="577"/>
    </row>
    <row r="40" spans="1:52" ht="15.75" customHeight="1" x14ac:dyDescent="0.2">
      <c r="A40" s="577"/>
      <c r="B40" s="577">
        <v>2016</v>
      </c>
      <c r="C40" s="620">
        <v>7700</v>
      </c>
      <c r="D40" s="620">
        <v>13450</v>
      </c>
      <c r="E40" s="620"/>
      <c r="F40" s="620"/>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577"/>
      <c r="AJ40" s="577"/>
      <c r="AK40" s="577"/>
      <c r="AL40" s="577"/>
      <c r="AM40" s="577"/>
      <c r="AN40" s="577"/>
      <c r="AO40" s="577"/>
      <c r="AP40" s="577"/>
      <c r="AQ40" s="577"/>
      <c r="AR40" s="577"/>
      <c r="AS40" s="577"/>
      <c r="AT40" s="577"/>
      <c r="AU40" s="577"/>
      <c r="AV40" s="577"/>
      <c r="AW40" s="577"/>
      <c r="AX40" s="577"/>
      <c r="AY40" s="577"/>
      <c r="AZ40" s="577"/>
    </row>
    <row r="41" spans="1:52" ht="15.75" customHeight="1" x14ac:dyDescent="0.2">
      <c r="A41" s="577"/>
      <c r="B41" s="577">
        <v>2017</v>
      </c>
      <c r="C41" s="620">
        <v>7950</v>
      </c>
      <c r="D41" s="620"/>
      <c r="E41" s="620"/>
      <c r="F41" s="620"/>
      <c r="G41" s="577"/>
      <c r="H41" s="577"/>
      <c r="I41" s="577"/>
      <c r="J41" s="577"/>
      <c r="K41" s="577"/>
      <c r="L41" s="577"/>
      <c r="M41" s="577"/>
      <c r="N41" s="577"/>
      <c r="O41" s="577"/>
      <c r="P41" s="577"/>
      <c r="Q41" s="577"/>
      <c r="R41" s="577"/>
      <c r="S41" s="577"/>
      <c r="T41" s="577"/>
      <c r="U41" s="577"/>
      <c r="V41" s="577"/>
      <c r="W41" s="577"/>
      <c r="X41" s="577"/>
      <c r="Y41" s="577"/>
      <c r="Z41" s="577"/>
      <c r="AA41" s="577"/>
      <c r="AB41" s="577"/>
      <c r="AC41" s="577"/>
      <c r="AD41" s="577"/>
      <c r="AE41" s="577"/>
      <c r="AF41" s="577"/>
      <c r="AG41" s="577"/>
      <c r="AH41" s="577"/>
      <c r="AI41" s="577"/>
      <c r="AJ41" s="577"/>
      <c r="AK41" s="577"/>
      <c r="AL41" s="577"/>
      <c r="AM41" s="577"/>
      <c r="AN41" s="577"/>
      <c r="AO41" s="577"/>
      <c r="AP41" s="577"/>
      <c r="AQ41" s="577"/>
      <c r="AR41" s="577"/>
      <c r="AS41" s="577"/>
      <c r="AT41" s="577"/>
      <c r="AU41" s="577"/>
      <c r="AV41" s="577"/>
      <c r="AW41" s="577"/>
      <c r="AX41" s="577"/>
      <c r="AY41" s="577"/>
      <c r="AZ41" s="577"/>
    </row>
    <row r="42" spans="1:52" ht="15.75" customHeight="1" x14ac:dyDescent="0.2">
      <c r="A42" s="577"/>
      <c r="B42" s="577"/>
      <c r="C42" s="577"/>
      <c r="D42" s="577"/>
      <c r="E42" s="577"/>
      <c r="F42" s="577"/>
      <c r="G42" s="577"/>
      <c r="H42" s="577"/>
      <c r="I42" s="577"/>
      <c r="J42" s="577"/>
      <c r="K42" s="577"/>
      <c r="L42" s="577"/>
      <c r="M42" s="577"/>
      <c r="N42" s="577"/>
      <c r="O42" s="577"/>
      <c r="P42" s="577"/>
      <c r="Q42" s="577"/>
      <c r="R42" s="577"/>
      <c r="S42" s="577"/>
      <c r="T42" s="577"/>
      <c r="U42" s="577"/>
      <c r="V42" s="577"/>
      <c r="W42" s="577"/>
      <c r="X42" s="577"/>
      <c r="Y42" s="577"/>
      <c r="Z42" s="577"/>
      <c r="AA42" s="577"/>
      <c r="AB42" s="577"/>
      <c r="AC42" s="577"/>
      <c r="AD42" s="577"/>
      <c r="AE42" s="577"/>
      <c r="AF42" s="577"/>
      <c r="AG42" s="577"/>
      <c r="AH42" s="577"/>
      <c r="AI42" s="577"/>
      <c r="AJ42" s="577"/>
      <c r="AK42" s="577"/>
      <c r="AL42" s="577"/>
      <c r="AM42" s="577"/>
      <c r="AN42" s="577"/>
      <c r="AO42" s="577"/>
      <c r="AP42" s="577"/>
      <c r="AQ42" s="577"/>
      <c r="AR42" s="577"/>
      <c r="AS42" s="577"/>
      <c r="AT42" s="577"/>
      <c r="AU42" s="577"/>
      <c r="AV42" s="577"/>
      <c r="AW42" s="577"/>
      <c r="AX42" s="577"/>
      <c r="AY42" s="577"/>
      <c r="AZ42" s="577"/>
    </row>
    <row r="43" spans="1:52" ht="15.75" customHeight="1" x14ac:dyDescent="0.2">
      <c r="A43" s="577"/>
      <c r="B43" s="577" t="s">
        <v>61</v>
      </c>
      <c r="C43" s="577" t="s">
        <v>578</v>
      </c>
      <c r="D43" s="577"/>
      <c r="E43" s="577"/>
      <c r="F43" s="577"/>
      <c r="G43" s="577"/>
      <c r="H43" s="577"/>
      <c r="I43" s="577"/>
      <c r="J43" s="577"/>
      <c r="K43" s="577"/>
      <c r="L43" s="577"/>
      <c r="M43" s="577"/>
      <c r="N43" s="577"/>
      <c r="O43" s="577"/>
      <c r="P43" s="577"/>
      <c r="Q43" s="577"/>
      <c r="R43" s="577"/>
      <c r="S43" s="577"/>
      <c r="T43" s="577"/>
      <c r="U43" s="577"/>
      <c r="V43" s="577"/>
      <c r="W43" s="577"/>
      <c r="X43" s="577"/>
      <c r="Y43" s="577"/>
      <c r="Z43" s="577"/>
      <c r="AA43" s="577"/>
      <c r="AB43" s="577"/>
      <c r="AC43" s="577"/>
      <c r="AD43" s="577"/>
      <c r="AE43" s="577"/>
      <c r="AF43" s="577"/>
      <c r="AG43" s="577"/>
      <c r="AH43" s="577"/>
      <c r="AI43" s="577"/>
      <c r="AJ43" s="577"/>
      <c r="AK43" s="577"/>
      <c r="AL43" s="577"/>
      <c r="AM43" s="577"/>
      <c r="AN43" s="577"/>
      <c r="AO43" s="577"/>
      <c r="AP43" s="577"/>
      <c r="AQ43" s="577"/>
      <c r="AR43" s="577"/>
      <c r="AS43" s="577"/>
      <c r="AT43" s="577"/>
      <c r="AU43" s="577"/>
      <c r="AV43" s="577"/>
      <c r="AW43" s="577"/>
      <c r="AX43" s="577"/>
      <c r="AY43" s="577"/>
      <c r="AZ43" s="577"/>
    </row>
    <row r="44" spans="1:52" ht="15.75" customHeight="1" x14ac:dyDescent="0.2">
      <c r="A44" s="577"/>
      <c r="B44" s="577">
        <v>2014</v>
      </c>
      <c r="C44" s="189">
        <f>C38*(1+$B$20)^(2017-$B38)</f>
        <v>8195.4524999999994</v>
      </c>
      <c r="D44" s="189">
        <f t="shared" ref="D44:F44" si="3">D38*(1+$B$20)^(2017-$B38)</f>
        <v>13986.9056</v>
      </c>
      <c r="E44" s="189">
        <f t="shared" si="3"/>
        <v>19669.085999999999</v>
      </c>
      <c r="F44" s="189">
        <f t="shared" si="3"/>
        <v>27318.174999999999</v>
      </c>
      <c r="G44" s="577"/>
      <c r="H44" s="577"/>
      <c r="I44" s="577"/>
      <c r="J44" s="577"/>
      <c r="K44" s="577"/>
      <c r="L44" s="577"/>
      <c r="M44" s="577"/>
      <c r="N44" s="577"/>
      <c r="O44" s="577"/>
      <c r="P44" s="577"/>
      <c r="Q44" s="577"/>
      <c r="R44" s="577"/>
      <c r="S44" s="577"/>
      <c r="T44" s="577"/>
      <c r="U44" s="577"/>
      <c r="V44" s="577"/>
      <c r="W44" s="577"/>
      <c r="X44" s="577"/>
      <c r="Y44" s="577"/>
      <c r="Z44" s="577"/>
      <c r="AA44" s="577"/>
      <c r="AB44" s="577"/>
      <c r="AC44" s="577"/>
      <c r="AD44" s="577"/>
      <c r="AE44" s="577"/>
      <c r="AF44" s="577"/>
      <c r="AG44" s="577"/>
      <c r="AH44" s="577"/>
      <c r="AI44" s="577"/>
      <c r="AJ44" s="577"/>
      <c r="AK44" s="577"/>
      <c r="AL44" s="577"/>
      <c r="AM44" s="577"/>
      <c r="AN44" s="577"/>
      <c r="AO44" s="577"/>
      <c r="AP44" s="577"/>
      <c r="AQ44" s="577"/>
      <c r="AR44" s="577"/>
      <c r="AS44" s="577"/>
      <c r="AT44" s="577"/>
      <c r="AU44" s="577"/>
      <c r="AV44" s="577"/>
      <c r="AW44" s="577"/>
      <c r="AX44" s="577"/>
      <c r="AY44" s="577"/>
      <c r="AZ44" s="577"/>
    </row>
    <row r="45" spans="1:52" ht="15.75" customHeight="1" x14ac:dyDescent="0.2">
      <c r="A45" s="577"/>
      <c r="B45" s="577">
        <v>2015</v>
      </c>
      <c r="C45" s="189">
        <f t="shared" ref="C45:E47" si="4">C39*(1+$B$20)^(2017-$B39)</f>
        <v>7691.5249999999996</v>
      </c>
      <c r="D45" s="189">
        <f t="shared" si="4"/>
        <v>13791.699999999999</v>
      </c>
      <c r="E45" s="189">
        <f t="shared" si="4"/>
        <v>19626.649999999998</v>
      </c>
      <c r="F45" s="189"/>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577"/>
      <c r="AJ45" s="577"/>
      <c r="AK45" s="577"/>
      <c r="AL45" s="577"/>
      <c r="AM45" s="577"/>
      <c r="AN45" s="577"/>
      <c r="AO45" s="577"/>
      <c r="AP45" s="577"/>
      <c r="AQ45" s="577"/>
      <c r="AR45" s="577"/>
      <c r="AS45" s="577"/>
      <c r="AT45" s="577"/>
      <c r="AU45" s="577"/>
      <c r="AV45" s="577"/>
      <c r="AW45" s="577"/>
      <c r="AX45" s="577"/>
      <c r="AY45" s="577"/>
      <c r="AZ45" s="577"/>
    </row>
    <row r="46" spans="1:52" ht="15.75" customHeight="1" x14ac:dyDescent="0.2">
      <c r="A46" s="577"/>
      <c r="B46" s="577">
        <v>2016</v>
      </c>
      <c r="C46" s="189">
        <f t="shared" si="4"/>
        <v>7931</v>
      </c>
      <c r="D46" s="189">
        <f t="shared" si="4"/>
        <v>13853.5</v>
      </c>
      <c r="E46" s="189"/>
      <c r="F46" s="189"/>
      <c r="G46" s="577"/>
      <c r="H46" s="577"/>
      <c r="I46" s="577"/>
      <c r="J46" s="577"/>
      <c r="K46" s="577"/>
      <c r="L46" s="577"/>
      <c r="M46" s="577"/>
      <c r="N46" s="577"/>
      <c r="O46" s="577"/>
      <c r="P46" s="577"/>
      <c r="Q46" s="577"/>
      <c r="R46" s="577"/>
      <c r="S46" s="577"/>
      <c r="T46" s="577"/>
      <c r="U46" s="577"/>
      <c r="V46" s="577"/>
      <c r="W46" s="577"/>
      <c r="X46" s="577"/>
      <c r="Y46" s="577"/>
      <c r="Z46" s="577"/>
      <c r="AA46" s="577"/>
      <c r="AB46" s="577"/>
      <c r="AC46" s="577"/>
      <c r="AD46" s="577"/>
      <c r="AE46" s="577"/>
      <c r="AF46" s="577"/>
      <c r="AG46" s="577"/>
      <c r="AH46" s="577"/>
      <c r="AI46" s="577"/>
      <c r="AJ46" s="577"/>
      <c r="AK46" s="577"/>
      <c r="AL46" s="577"/>
      <c r="AM46" s="577"/>
      <c r="AN46" s="577"/>
      <c r="AO46" s="577"/>
      <c r="AP46" s="577"/>
      <c r="AQ46" s="577"/>
      <c r="AR46" s="577"/>
      <c r="AS46" s="577"/>
      <c r="AT46" s="577"/>
      <c r="AU46" s="577"/>
      <c r="AV46" s="577"/>
      <c r="AW46" s="577"/>
      <c r="AX46" s="577"/>
      <c r="AY46" s="577"/>
      <c r="AZ46" s="577"/>
    </row>
    <row r="47" spans="1:52" ht="15.75" customHeight="1" x14ac:dyDescent="0.2">
      <c r="A47" s="577"/>
      <c r="B47" s="577">
        <v>2017</v>
      </c>
      <c r="C47" s="189">
        <f t="shared" si="4"/>
        <v>7950</v>
      </c>
      <c r="D47" s="189"/>
      <c r="E47" s="189"/>
      <c r="F47" s="189"/>
      <c r="G47" s="577"/>
      <c r="H47" s="577"/>
      <c r="I47" s="577"/>
      <c r="J47" s="577"/>
      <c r="K47" s="577"/>
      <c r="L47" s="577"/>
      <c r="M47" s="577"/>
      <c r="N47" s="577"/>
      <c r="O47" s="577"/>
      <c r="P47" s="577"/>
      <c r="Q47" s="577"/>
      <c r="R47" s="577"/>
      <c r="S47" s="577"/>
      <c r="T47" s="577"/>
      <c r="U47" s="577"/>
      <c r="V47" s="577"/>
      <c r="W47" s="577"/>
      <c r="X47" s="577"/>
      <c r="Y47" s="577"/>
      <c r="Z47" s="577"/>
      <c r="AA47" s="577"/>
      <c r="AB47" s="577"/>
      <c r="AC47" s="577"/>
      <c r="AD47" s="577"/>
      <c r="AE47" s="577"/>
      <c r="AF47" s="577"/>
      <c r="AG47" s="577"/>
      <c r="AH47" s="577"/>
      <c r="AI47" s="577"/>
      <c r="AJ47" s="577"/>
      <c r="AK47" s="577"/>
      <c r="AL47" s="577"/>
      <c r="AM47" s="577"/>
      <c r="AN47" s="577"/>
      <c r="AO47" s="577"/>
      <c r="AP47" s="577"/>
      <c r="AQ47" s="577"/>
      <c r="AR47" s="577"/>
      <c r="AS47" s="577"/>
      <c r="AT47" s="577"/>
      <c r="AU47" s="577"/>
      <c r="AV47" s="577"/>
      <c r="AW47" s="577"/>
      <c r="AX47" s="577"/>
      <c r="AY47" s="577"/>
      <c r="AZ47" s="577"/>
    </row>
    <row r="48" spans="1:52" ht="15.75" customHeight="1" x14ac:dyDescent="0.2">
      <c r="A48" s="577"/>
      <c r="B48" s="577"/>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577"/>
      <c r="AJ48" s="577"/>
      <c r="AK48" s="577"/>
      <c r="AL48" s="577"/>
      <c r="AM48" s="577"/>
      <c r="AN48" s="577"/>
      <c r="AO48" s="577"/>
      <c r="AP48" s="577"/>
      <c r="AQ48" s="577"/>
      <c r="AR48" s="577"/>
      <c r="AS48" s="577"/>
      <c r="AT48" s="577"/>
      <c r="AU48" s="577"/>
      <c r="AV48" s="577"/>
      <c r="AW48" s="577"/>
      <c r="AX48" s="577"/>
      <c r="AY48" s="577"/>
      <c r="AZ48" s="577"/>
    </row>
    <row r="49" spans="1:52" ht="15.75" customHeight="1" x14ac:dyDescent="0.2">
      <c r="A49" s="577"/>
      <c r="B49" s="577"/>
      <c r="C49" s="189">
        <f>AVERAGE(C44:C47)</f>
        <v>7941.9943750000002</v>
      </c>
      <c r="D49" s="189">
        <f t="shared" ref="D49:F49" si="5">AVERAGE(D44:D47)</f>
        <v>13877.368533333332</v>
      </c>
      <c r="E49" s="189">
        <f t="shared" si="5"/>
        <v>19647.867999999999</v>
      </c>
      <c r="F49" s="189">
        <f t="shared" si="5"/>
        <v>27318.174999999999</v>
      </c>
      <c r="G49" s="577"/>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577"/>
      <c r="AO49" s="577"/>
      <c r="AP49" s="577"/>
      <c r="AQ49" s="577"/>
      <c r="AR49" s="577"/>
      <c r="AS49" s="577"/>
      <c r="AT49" s="577"/>
      <c r="AU49" s="577"/>
      <c r="AV49" s="577"/>
      <c r="AW49" s="577"/>
      <c r="AX49" s="577"/>
      <c r="AY49" s="577"/>
      <c r="AZ49" s="577"/>
    </row>
    <row r="50" spans="1:52" ht="15.75" customHeight="1" x14ac:dyDescent="0.2">
      <c r="A50" s="577"/>
      <c r="B50" s="577"/>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577"/>
      <c r="AJ50" s="577"/>
      <c r="AK50" s="577"/>
      <c r="AL50" s="577"/>
      <c r="AM50" s="577"/>
      <c r="AN50" s="577"/>
      <c r="AO50" s="577"/>
      <c r="AP50" s="577"/>
      <c r="AQ50" s="577"/>
      <c r="AR50" s="577"/>
      <c r="AS50" s="577"/>
      <c r="AT50" s="577"/>
      <c r="AU50" s="577"/>
      <c r="AV50" s="577"/>
      <c r="AW50" s="577"/>
      <c r="AX50" s="577"/>
      <c r="AY50" s="577"/>
      <c r="AZ50" s="577"/>
    </row>
    <row r="51" spans="1:52" ht="15.75" customHeight="1" x14ac:dyDescent="0.2">
      <c r="A51" s="577"/>
      <c r="B51" s="577"/>
      <c r="C51" s="577"/>
      <c r="D51" s="577"/>
      <c r="E51" s="577"/>
      <c r="F51" s="577"/>
      <c r="G51" s="577"/>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c r="AK51" s="577"/>
      <c r="AL51" s="577"/>
      <c r="AM51" s="577"/>
      <c r="AN51" s="577"/>
      <c r="AO51" s="577"/>
      <c r="AP51" s="577"/>
      <c r="AQ51" s="577"/>
      <c r="AR51" s="577"/>
      <c r="AS51" s="577"/>
      <c r="AT51" s="577"/>
      <c r="AU51" s="577"/>
      <c r="AV51" s="577"/>
      <c r="AW51" s="577"/>
      <c r="AX51" s="577"/>
      <c r="AY51" s="577"/>
      <c r="AZ51" s="577"/>
    </row>
    <row r="52" spans="1:52" ht="15.75" customHeight="1" x14ac:dyDescent="0.2">
      <c r="A52" s="577"/>
      <c r="B52" s="577"/>
      <c r="C52" s="577"/>
      <c r="D52" s="577"/>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c r="AK52" s="577"/>
      <c r="AL52" s="577"/>
      <c r="AM52" s="577"/>
      <c r="AN52" s="577"/>
      <c r="AO52" s="577"/>
      <c r="AP52" s="577"/>
      <c r="AQ52" s="577"/>
      <c r="AR52" s="577"/>
      <c r="AS52" s="577"/>
      <c r="AT52" s="577"/>
      <c r="AU52" s="577"/>
      <c r="AV52" s="577"/>
      <c r="AW52" s="577"/>
      <c r="AX52" s="577"/>
      <c r="AY52" s="577"/>
      <c r="AZ52" s="577"/>
    </row>
    <row r="53" spans="1:52" ht="15.75" customHeight="1" x14ac:dyDescent="0.2">
      <c r="A53" s="577"/>
      <c r="B53" s="577"/>
      <c r="C53" s="577">
        <f>(C18-C11)/(1-C34)</f>
        <v>145.90472260970239</v>
      </c>
      <c r="D53" s="192">
        <f>(D34-C34)</f>
        <v>5.3546024081738364E-2</v>
      </c>
      <c r="E53" s="192">
        <f>(E34-D34)</f>
        <v>3.1390567104852773E-2</v>
      </c>
      <c r="F53" s="192">
        <f>(F34-E34)</f>
        <v>1.7870225013082219E-2</v>
      </c>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577"/>
      <c r="AO53" s="577"/>
      <c r="AP53" s="577"/>
      <c r="AQ53" s="577"/>
      <c r="AR53" s="577"/>
      <c r="AS53" s="577"/>
      <c r="AT53" s="577"/>
      <c r="AU53" s="577"/>
      <c r="AV53" s="577"/>
      <c r="AW53" s="577"/>
      <c r="AX53" s="577"/>
      <c r="AY53" s="577"/>
      <c r="AZ53" s="577"/>
    </row>
    <row r="54" spans="1:52" ht="15.75" customHeight="1" x14ac:dyDescent="0.2">
      <c r="A54" s="577"/>
      <c r="B54" s="577" t="s">
        <v>579</v>
      </c>
      <c r="C54" s="577"/>
      <c r="D54" s="621">
        <f>D53*$C$53</f>
        <v>7.8126177904984804</v>
      </c>
      <c r="E54" s="621">
        <f>E53*$C$53</f>
        <v>4.5800319859947924</v>
      </c>
      <c r="F54" s="621">
        <f>F53*$C$53</f>
        <v>2.6073502235067263</v>
      </c>
      <c r="G54" s="577"/>
      <c r="H54" s="622"/>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577"/>
      <c r="AO54" s="577"/>
      <c r="AP54" s="577"/>
      <c r="AQ54" s="577"/>
      <c r="AR54" s="577"/>
      <c r="AS54" s="577"/>
      <c r="AT54" s="577"/>
      <c r="AU54" s="577"/>
      <c r="AV54" s="577"/>
      <c r="AW54" s="577"/>
      <c r="AX54" s="577"/>
      <c r="AY54" s="577"/>
      <c r="AZ54" s="577"/>
    </row>
    <row r="55" spans="1:52" ht="15.75" customHeight="1" x14ac:dyDescent="0.2">
      <c r="A55" s="577"/>
      <c r="B55" s="577" t="s">
        <v>580</v>
      </c>
      <c r="C55" s="577"/>
      <c r="D55" s="623">
        <f>D54*D49</f>
        <v>108418.5762888238</v>
      </c>
      <c r="E55" s="189">
        <f t="shared" ref="E55:F55" si="6">E54*E49</f>
        <v>89987.863896603521</v>
      </c>
      <c r="F55" s="189">
        <f t="shared" si="6"/>
        <v>71228.049692045854</v>
      </c>
      <c r="G55" s="577"/>
      <c r="H55" s="577"/>
      <c r="I55" s="577"/>
      <c r="J55" s="577"/>
      <c r="K55" s="577"/>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c r="AO55" s="577"/>
      <c r="AP55" s="577"/>
      <c r="AQ55" s="577"/>
      <c r="AR55" s="577"/>
      <c r="AS55" s="577"/>
      <c r="AT55" s="577"/>
      <c r="AU55" s="577"/>
      <c r="AV55" s="577"/>
      <c r="AW55" s="577"/>
      <c r="AX55" s="577"/>
      <c r="AY55" s="577"/>
      <c r="AZ55" s="577"/>
    </row>
    <row r="56" spans="1:52" ht="15.75" customHeight="1" x14ac:dyDescent="0.2">
      <c r="A56" s="577"/>
      <c r="B56" s="577" t="s">
        <v>581</v>
      </c>
      <c r="C56" s="577"/>
      <c r="D56" s="623">
        <f>SUM(D55:F55)</f>
        <v>269634.48987747316</v>
      </c>
      <c r="E56" s="577"/>
      <c r="F56" s="577"/>
      <c r="G56" s="577"/>
      <c r="H56" s="577"/>
      <c r="I56" s="577"/>
      <c r="J56" s="577"/>
      <c r="K56" s="577"/>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c r="AO56" s="577"/>
      <c r="AP56" s="577"/>
      <c r="AQ56" s="577"/>
      <c r="AR56" s="577"/>
      <c r="AS56" s="577"/>
      <c r="AT56" s="577"/>
      <c r="AU56" s="577"/>
      <c r="AV56" s="577"/>
      <c r="AW56" s="577"/>
      <c r="AX56" s="577"/>
      <c r="AY56" s="577"/>
      <c r="AZ56" s="577"/>
    </row>
    <row r="57" spans="1:52" ht="15.75" customHeight="1" x14ac:dyDescent="0.2">
      <c r="A57" s="577"/>
      <c r="B57" s="577"/>
      <c r="C57" s="577"/>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c r="AO57" s="577"/>
      <c r="AP57" s="577"/>
      <c r="AQ57" s="577"/>
      <c r="AR57" s="577"/>
      <c r="AS57" s="577"/>
      <c r="AT57" s="577"/>
      <c r="AU57" s="577"/>
      <c r="AV57" s="577"/>
      <c r="AW57" s="577"/>
      <c r="AX57" s="577"/>
      <c r="AY57" s="577"/>
      <c r="AZ57" s="577"/>
    </row>
    <row r="58" spans="1:52" ht="15.75" customHeight="1" x14ac:dyDescent="0.2">
      <c r="A58" s="577"/>
      <c r="B58" s="577"/>
      <c r="C58" s="577"/>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c r="AO58" s="577"/>
      <c r="AP58" s="577"/>
      <c r="AQ58" s="577"/>
      <c r="AR58" s="577"/>
      <c r="AS58" s="577"/>
      <c r="AT58" s="577"/>
      <c r="AU58" s="577"/>
      <c r="AV58" s="577"/>
      <c r="AW58" s="577"/>
      <c r="AX58" s="577"/>
      <c r="AY58" s="577"/>
      <c r="AZ58" s="577"/>
    </row>
    <row r="59" spans="1:52" ht="15.75" customHeight="1" x14ac:dyDescent="0.2">
      <c r="A59" s="577"/>
      <c r="B59" s="577"/>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c r="AO59" s="577"/>
      <c r="AP59" s="577"/>
      <c r="AQ59" s="577"/>
      <c r="AR59" s="577"/>
      <c r="AS59" s="577"/>
      <c r="AT59" s="577"/>
      <c r="AU59" s="577"/>
      <c r="AV59" s="577"/>
      <c r="AW59" s="577"/>
      <c r="AX59" s="577"/>
      <c r="AY59" s="577"/>
      <c r="AZ59" s="577"/>
    </row>
    <row r="60" spans="1:52" ht="15.75" customHeight="1" x14ac:dyDescent="0.2">
      <c r="A60" s="577"/>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7"/>
      <c r="AY60" s="577"/>
      <c r="AZ60" s="577"/>
    </row>
    <row r="61" spans="1:52" ht="15.75" customHeight="1" x14ac:dyDescent="0.2">
      <c r="A61" s="577"/>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7"/>
      <c r="AY61" s="577"/>
      <c r="AZ61" s="577"/>
    </row>
    <row r="62" spans="1:52" ht="15.75" customHeight="1" x14ac:dyDescent="0.2">
      <c r="A62" s="577"/>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7"/>
      <c r="AY62" s="577"/>
      <c r="AZ62" s="577"/>
    </row>
    <row r="63" spans="1:52" ht="15.75" customHeight="1" x14ac:dyDescent="0.2">
      <c r="A63" s="577"/>
      <c r="B63" s="577"/>
      <c r="C63" s="577"/>
      <c r="D63" s="577"/>
      <c r="E63" s="577"/>
      <c r="F63" s="577"/>
      <c r="G63" s="577"/>
      <c r="H63" s="577"/>
      <c r="I63" s="577"/>
      <c r="J63" s="577"/>
      <c r="K63" s="577"/>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c r="AO63" s="577"/>
      <c r="AP63" s="577"/>
      <c r="AQ63" s="577"/>
      <c r="AR63" s="577"/>
      <c r="AS63" s="577"/>
      <c r="AT63" s="577"/>
      <c r="AU63" s="577"/>
      <c r="AV63" s="577"/>
      <c r="AW63" s="577"/>
      <c r="AX63" s="577"/>
      <c r="AY63" s="577"/>
      <c r="AZ63" s="577"/>
    </row>
    <row r="64" spans="1:52" ht="15.75" customHeight="1" x14ac:dyDescent="0.2">
      <c r="A64" s="577"/>
      <c r="B64" s="577"/>
      <c r="C64" s="577"/>
      <c r="D64" s="577"/>
      <c r="E64" s="577"/>
      <c r="F64" s="577"/>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c r="AO64" s="577"/>
      <c r="AP64" s="577"/>
      <c r="AQ64" s="577"/>
      <c r="AR64" s="577"/>
      <c r="AS64" s="577"/>
      <c r="AT64" s="577"/>
      <c r="AU64" s="577"/>
      <c r="AV64" s="577"/>
      <c r="AW64" s="577"/>
      <c r="AX64" s="577"/>
      <c r="AY64" s="577"/>
      <c r="AZ64" s="577"/>
    </row>
    <row r="65" spans="1:52" ht="15.75" customHeight="1" x14ac:dyDescent="0.2">
      <c r="A65" s="577"/>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c r="AO65" s="577"/>
      <c r="AP65" s="577"/>
      <c r="AQ65" s="577"/>
      <c r="AR65" s="577"/>
      <c r="AS65" s="577"/>
      <c r="AT65" s="577"/>
      <c r="AU65" s="577"/>
      <c r="AV65" s="577"/>
      <c r="AW65" s="577"/>
      <c r="AX65" s="577"/>
      <c r="AY65" s="577"/>
      <c r="AZ65" s="577"/>
    </row>
    <row r="66" spans="1:52" ht="15.75" customHeight="1" x14ac:dyDescent="0.2">
      <c r="A66" s="577"/>
      <c r="B66" s="577"/>
      <c r="C66" s="577"/>
      <c r="D66" s="577"/>
      <c r="E66" s="577"/>
      <c r="F66" s="577"/>
      <c r="G66" s="577"/>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c r="AO66" s="577"/>
      <c r="AP66" s="577"/>
      <c r="AQ66" s="577"/>
      <c r="AR66" s="577"/>
      <c r="AS66" s="577"/>
      <c r="AT66" s="577"/>
      <c r="AU66" s="577"/>
      <c r="AV66" s="577"/>
      <c r="AW66" s="577"/>
      <c r="AX66" s="577"/>
      <c r="AY66" s="577"/>
      <c r="AZ66" s="577"/>
    </row>
    <row r="67" spans="1:52" ht="15.75" customHeight="1" x14ac:dyDescent="0.2">
      <c r="A67" s="577"/>
      <c r="B67" s="577"/>
      <c r="C67" s="577"/>
      <c r="D67" s="577"/>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c r="AO67" s="577"/>
      <c r="AP67" s="577"/>
      <c r="AQ67" s="577"/>
      <c r="AR67" s="577"/>
      <c r="AS67" s="577"/>
      <c r="AT67" s="577"/>
      <c r="AU67" s="577"/>
      <c r="AV67" s="577"/>
      <c r="AW67" s="577"/>
      <c r="AX67" s="577"/>
      <c r="AY67" s="577"/>
      <c r="AZ67" s="577"/>
    </row>
    <row r="68" spans="1:52" ht="15.75" customHeight="1" x14ac:dyDescent="0.2">
      <c r="A68" s="577"/>
      <c r="B68" s="577"/>
      <c r="C68" s="577"/>
      <c r="D68" s="577"/>
      <c r="E68" s="577"/>
      <c r="F68" s="577"/>
      <c r="G68" s="577"/>
      <c r="H68" s="577"/>
      <c r="I68" s="577"/>
      <c r="J68" s="577"/>
      <c r="K68" s="577"/>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c r="AS68" s="577"/>
      <c r="AT68" s="577"/>
      <c r="AU68" s="577"/>
      <c r="AV68" s="577"/>
      <c r="AW68" s="577"/>
      <c r="AX68" s="577"/>
      <c r="AY68" s="577"/>
      <c r="AZ68" s="577"/>
    </row>
    <row r="69" spans="1:52" ht="15.75" customHeight="1" x14ac:dyDescent="0.2">
      <c r="A69" s="577"/>
      <c r="B69" s="577"/>
      <c r="C69" s="577"/>
      <c r="D69" s="577"/>
      <c r="E69" s="577"/>
      <c r="F69" s="577"/>
      <c r="G69" s="577"/>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c r="AO69" s="577"/>
      <c r="AP69" s="577"/>
      <c r="AQ69" s="577"/>
      <c r="AR69" s="577"/>
      <c r="AS69" s="577"/>
      <c r="AT69" s="577"/>
      <c r="AU69" s="577"/>
      <c r="AV69" s="577"/>
      <c r="AW69" s="577"/>
      <c r="AX69" s="577"/>
      <c r="AY69" s="577"/>
      <c r="AZ69" s="577"/>
    </row>
    <row r="70" spans="1:52" ht="15.75" customHeight="1" x14ac:dyDescent="0.2">
      <c r="A70" s="577"/>
      <c r="B70" s="577"/>
      <c r="C70" s="577"/>
      <c r="D70" s="577"/>
      <c r="E70" s="577"/>
      <c r="F70" s="577"/>
      <c r="G70" s="577"/>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c r="AS70" s="577"/>
      <c r="AT70" s="577"/>
      <c r="AU70" s="577"/>
      <c r="AV70" s="577"/>
      <c r="AW70" s="577"/>
      <c r="AX70" s="577"/>
      <c r="AY70" s="577"/>
      <c r="AZ70" s="577"/>
    </row>
    <row r="71" spans="1:52" ht="15.75" customHeight="1" x14ac:dyDescent="0.2">
      <c r="A71" s="577"/>
      <c r="B71" s="577"/>
      <c r="C71" s="577"/>
      <c r="D71" s="577"/>
      <c r="E71" s="577"/>
      <c r="F71" s="577"/>
      <c r="G71" s="577"/>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c r="AO71" s="577"/>
      <c r="AP71" s="577"/>
      <c r="AQ71" s="577"/>
      <c r="AR71" s="577"/>
      <c r="AS71" s="577"/>
      <c r="AT71" s="577"/>
      <c r="AU71" s="577"/>
      <c r="AV71" s="577"/>
      <c r="AW71" s="577"/>
      <c r="AX71" s="577"/>
      <c r="AY71" s="577"/>
      <c r="AZ71" s="577"/>
    </row>
    <row r="72" spans="1:52" ht="15.75" customHeight="1" x14ac:dyDescent="0.2">
      <c r="A72" s="577"/>
      <c r="B72" s="577"/>
      <c r="C72" s="577"/>
      <c r="D72" s="577"/>
      <c r="E72" s="577"/>
      <c r="F72" s="577"/>
      <c r="G72" s="577"/>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c r="AO72" s="577"/>
      <c r="AP72" s="577"/>
      <c r="AQ72" s="577"/>
      <c r="AR72" s="577"/>
      <c r="AS72" s="577"/>
      <c r="AT72" s="577"/>
      <c r="AU72" s="577"/>
      <c r="AV72" s="577"/>
      <c r="AW72" s="577"/>
      <c r="AX72" s="577"/>
      <c r="AY72" s="577"/>
      <c r="AZ72" s="577"/>
    </row>
    <row r="73" spans="1:52" ht="15.75" customHeight="1" x14ac:dyDescent="0.2">
      <c r="A73" s="577"/>
      <c r="B73" s="577"/>
      <c r="C73" s="577"/>
      <c r="D73" s="577"/>
      <c r="E73" s="577"/>
      <c r="F73" s="577"/>
      <c r="G73" s="577"/>
      <c r="H73" s="577"/>
      <c r="I73" s="577"/>
      <c r="J73" s="577"/>
      <c r="K73" s="577"/>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c r="AO73" s="577"/>
      <c r="AP73" s="577"/>
      <c r="AQ73" s="577"/>
      <c r="AR73" s="577"/>
      <c r="AS73" s="577"/>
      <c r="AT73" s="577"/>
      <c r="AU73" s="577"/>
      <c r="AV73" s="577"/>
      <c r="AW73" s="577"/>
      <c r="AX73" s="577"/>
      <c r="AY73" s="577"/>
      <c r="AZ73" s="577"/>
    </row>
    <row r="74" spans="1:52" ht="15.75" customHeight="1" x14ac:dyDescent="0.2">
      <c r="A74" s="577"/>
      <c r="B74" s="577"/>
      <c r="C74" s="577"/>
      <c r="D74" s="577"/>
      <c r="E74" s="577"/>
      <c r="F74" s="577"/>
      <c r="G74" s="577"/>
      <c r="H74" s="577"/>
      <c r="I74" s="577"/>
      <c r="J74" s="577"/>
      <c r="K74" s="577"/>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c r="AO74" s="577"/>
      <c r="AP74" s="577"/>
      <c r="AQ74" s="577"/>
      <c r="AR74" s="577"/>
      <c r="AS74" s="577"/>
      <c r="AT74" s="577"/>
      <c r="AU74" s="577"/>
      <c r="AV74" s="577"/>
      <c r="AW74" s="577"/>
      <c r="AX74" s="577"/>
      <c r="AY74" s="577"/>
      <c r="AZ74" s="577"/>
    </row>
    <row r="75" spans="1:52" ht="15.75" customHeight="1" x14ac:dyDescent="0.2">
      <c r="A75" s="577"/>
      <c r="B75" s="577"/>
      <c r="C75" s="577"/>
      <c r="D75" s="577"/>
      <c r="E75" s="577"/>
      <c r="F75" s="577"/>
      <c r="G75" s="577"/>
      <c r="H75" s="577"/>
      <c r="I75" s="577"/>
      <c r="J75" s="577"/>
      <c r="K75" s="577"/>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c r="AO75" s="577"/>
      <c r="AP75" s="577"/>
      <c r="AQ75" s="577"/>
      <c r="AR75" s="577"/>
      <c r="AS75" s="577"/>
      <c r="AT75" s="577"/>
      <c r="AU75" s="577"/>
      <c r="AV75" s="577"/>
      <c r="AW75" s="577"/>
      <c r="AX75" s="577"/>
      <c r="AY75" s="577"/>
      <c r="AZ75" s="577"/>
    </row>
    <row r="76" spans="1:52" ht="15.75" customHeight="1" x14ac:dyDescent="0.2">
      <c r="A76" s="577"/>
      <c r="B76" s="577"/>
      <c r="C76" s="577"/>
      <c r="D76" s="577"/>
      <c r="E76" s="577"/>
      <c r="F76" s="577"/>
      <c r="G76" s="577"/>
      <c r="H76" s="577"/>
      <c r="I76" s="577"/>
      <c r="J76" s="577"/>
      <c r="K76" s="577"/>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c r="AO76" s="577"/>
      <c r="AP76" s="577"/>
      <c r="AQ76" s="577"/>
      <c r="AR76" s="577"/>
      <c r="AS76" s="577"/>
      <c r="AT76" s="577"/>
      <c r="AU76" s="577"/>
      <c r="AV76" s="577"/>
      <c r="AW76" s="577"/>
      <c r="AX76" s="577"/>
      <c r="AY76" s="577"/>
      <c r="AZ76" s="577"/>
    </row>
    <row r="77" spans="1:52" ht="15.75" customHeight="1" x14ac:dyDescent="0.2">
      <c r="A77" s="577"/>
      <c r="B77" s="577"/>
      <c r="C77" s="577"/>
      <c r="D77" s="577"/>
      <c r="E77" s="577"/>
      <c r="F77" s="577"/>
      <c r="G77" s="577"/>
      <c r="H77" s="577"/>
      <c r="I77" s="577"/>
      <c r="J77" s="577"/>
      <c r="K77" s="577"/>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77"/>
      <c r="AL77" s="577"/>
      <c r="AM77" s="577"/>
      <c r="AN77" s="577"/>
      <c r="AO77" s="577"/>
      <c r="AP77" s="577"/>
      <c r="AQ77" s="577"/>
      <c r="AR77" s="577"/>
      <c r="AS77" s="577"/>
      <c r="AT77" s="577"/>
      <c r="AU77" s="577"/>
      <c r="AV77" s="577"/>
      <c r="AW77" s="577"/>
      <c r="AX77" s="577"/>
      <c r="AY77" s="577"/>
      <c r="AZ77" s="577"/>
    </row>
    <row r="78" spans="1:52" ht="15.75" customHeight="1" x14ac:dyDescent="0.2">
      <c r="A78" s="577"/>
      <c r="B78" s="577"/>
      <c r="C78" s="577"/>
      <c r="D78" s="577"/>
      <c r="E78" s="577"/>
      <c r="F78" s="577"/>
      <c r="G78" s="577"/>
      <c r="H78" s="577"/>
      <c r="I78" s="577"/>
      <c r="J78" s="577"/>
      <c r="K78" s="577"/>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c r="AO78" s="577"/>
      <c r="AP78" s="577"/>
      <c r="AQ78" s="577"/>
      <c r="AR78" s="577"/>
      <c r="AS78" s="577"/>
      <c r="AT78" s="577"/>
      <c r="AU78" s="577"/>
      <c r="AV78" s="577"/>
      <c r="AW78" s="577"/>
      <c r="AX78" s="577"/>
      <c r="AY78" s="577"/>
      <c r="AZ78" s="577"/>
    </row>
    <row r="79" spans="1:52" ht="15.75" customHeight="1" x14ac:dyDescent="0.2">
      <c r="A79" s="577"/>
      <c r="B79" s="577"/>
      <c r="C79" s="577"/>
      <c r="D79" s="577"/>
      <c r="E79" s="577"/>
      <c r="F79" s="577"/>
      <c r="G79" s="577"/>
      <c r="H79" s="577"/>
      <c r="I79" s="577"/>
      <c r="J79" s="577"/>
      <c r="K79" s="577"/>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c r="AO79" s="577"/>
      <c r="AP79" s="577"/>
      <c r="AQ79" s="577"/>
      <c r="AR79" s="577"/>
      <c r="AS79" s="577"/>
      <c r="AT79" s="577"/>
      <c r="AU79" s="577"/>
      <c r="AV79" s="577"/>
      <c r="AW79" s="577"/>
      <c r="AX79" s="577"/>
      <c r="AY79" s="577"/>
      <c r="AZ79" s="577"/>
    </row>
    <row r="80" spans="1:52" ht="15.75" customHeight="1" x14ac:dyDescent="0.2">
      <c r="A80" s="577"/>
      <c r="B80" s="577"/>
      <c r="C80" s="577"/>
      <c r="D80" s="577"/>
      <c r="E80" s="577"/>
      <c r="F80" s="577"/>
      <c r="G80" s="577"/>
      <c r="H80" s="577"/>
      <c r="I80" s="577"/>
      <c r="J80" s="577"/>
      <c r="K80" s="577"/>
      <c r="L80" s="577"/>
      <c r="M80" s="577"/>
      <c r="N80" s="577"/>
      <c r="O80" s="577"/>
      <c r="P80" s="577"/>
      <c r="Q80" s="577"/>
      <c r="R80" s="577"/>
      <c r="S80" s="577"/>
      <c r="T80" s="577"/>
      <c r="U80" s="577"/>
      <c r="V80" s="577"/>
      <c r="W80" s="577"/>
      <c r="X80" s="577"/>
      <c r="Y80" s="577"/>
      <c r="Z80" s="577"/>
      <c r="AA80" s="577"/>
      <c r="AB80" s="577"/>
      <c r="AC80" s="577"/>
      <c r="AD80" s="577"/>
      <c r="AE80" s="577"/>
      <c r="AF80" s="577"/>
      <c r="AG80" s="577"/>
      <c r="AH80" s="577"/>
      <c r="AI80" s="577"/>
      <c r="AJ80" s="577"/>
      <c r="AK80" s="577"/>
      <c r="AL80" s="577"/>
      <c r="AM80" s="577"/>
      <c r="AN80" s="577"/>
      <c r="AO80" s="577"/>
      <c r="AP80" s="577"/>
      <c r="AQ80" s="577"/>
      <c r="AR80" s="577"/>
      <c r="AS80" s="577"/>
      <c r="AT80" s="577"/>
      <c r="AU80" s="577"/>
      <c r="AV80" s="577"/>
      <c r="AW80" s="577"/>
      <c r="AX80" s="577"/>
      <c r="AY80" s="577"/>
      <c r="AZ80" s="577"/>
    </row>
    <row r="81" spans="1:52" ht="15.75" customHeight="1" x14ac:dyDescent="0.2">
      <c r="A81" s="577"/>
      <c r="B81" s="577"/>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7"/>
      <c r="AY81" s="577"/>
      <c r="AZ81" s="577"/>
    </row>
    <row r="82" spans="1:52" ht="15.75" customHeight="1" x14ac:dyDescent="0.2">
      <c r="A82" s="577"/>
      <c r="B82" s="577"/>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c r="AO82" s="577"/>
      <c r="AP82" s="577"/>
      <c r="AQ82" s="577"/>
      <c r="AR82" s="577"/>
      <c r="AS82" s="577"/>
      <c r="AT82" s="577"/>
      <c r="AU82" s="577"/>
      <c r="AV82" s="577"/>
      <c r="AW82" s="577"/>
      <c r="AX82" s="577"/>
      <c r="AY82" s="577"/>
      <c r="AZ82" s="577"/>
    </row>
    <row r="83" spans="1:52" ht="15.75" customHeight="1" x14ac:dyDescent="0.2">
      <c r="A83" s="577"/>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c r="AO83" s="577"/>
      <c r="AP83" s="577"/>
      <c r="AQ83" s="577"/>
      <c r="AR83" s="577"/>
      <c r="AS83" s="577"/>
      <c r="AT83" s="577"/>
      <c r="AU83" s="577"/>
      <c r="AV83" s="577"/>
      <c r="AW83" s="577"/>
      <c r="AX83" s="577"/>
      <c r="AY83" s="577"/>
      <c r="AZ83" s="577"/>
    </row>
    <row r="84" spans="1:52" ht="15.75" customHeight="1" x14ac:dyDescent="0.2">
      <c r="A84" s="577"/>
      <c r="B84" s="577"/>
      <c r="C84" s="577"/>
      <c r="D84" s="577"/>
      <c r="E84" s="577"/>
      <c r="F84" s="577"/>
      <c r="G84" s="577"/>
      <c r="H84" s="577"/>
      <c r="I84" s="577"/>
      <c r="J84" s="577"/>
      <c r="K84" s="577"/>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c r="AO84" s="577"/>
      <c r="AP84" s="577"/>
      <c r="AQ84" s="577"/>
      <c r="AR84" s="577"/>
      <c r="AS84" s="577"/>
      <c r="AT84" s="577"/>
      <c r="AU84" s="577"/>
      <c r="AV84" s="577"/>
      <c r="AW84" s="577"/>
      <c r="AX84" s="577"/>
      <c r="AY84" s="577"/>
      <c r="AZ84" s="577"/>
    </row>
    <row r="85" spans="1:52" ht="15.75" customHeight="1" x14ac:dyDescent="0.2">
      <c r="A85" s="577"/>
      <c r="B85" s="577"/>
      <c r="C85" s="577"/>
      <c r="D85" s="577"/>
      <c r="E85" s="577"/>
      <c r="F85" s="577"/>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c r="AO85" s="577"/>
      <c r="AP85" s="577"/>
      <c r="AQ85" s="577"/>
      <c r="AR85" s="577"/>
      <c r="AS85" s="577"/>
      <c r="AT85" s="577"/>
      <c r="AU85" s="577"/>
      <c r="AV85" s="577"/>
      <c r="AW85" s="577"/>
      <c r="AX85" s="577"/>
      <c r="AY85" s="577"/>
      <c r="AZ85" s="577"/>
    </row>
    <row r="86" spans="1:52" ht="15.75" customHeight="1" x14ac:dyDescent="0.2">
      <c r="A86" s="577"/>
      <c r="B86" s="577"/>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577"/>
      <c r="AY86" s="577"/>
      <c r="AZ86" s="577"/>
    </row>
    <row r="87" spans="1:52" ht="15.75" customHeight="1" x14ac:dyDescent="0.2">
      <c r="A87" s="577"/>
      <c r="B87" s="577"/>
      <c r="C87" s="577"/>
      <c r="D87" s="577"/>
      <c r="E87" s="577"/>
      <c r="F87" s="577"/>
      <c r="G87" s="577"/>
      <c r="H87" s="577"/>
      <c r="I87" s="577"/>
      <c r="J87" s="577"/>
      <c r="K87" s="577"/>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c r="AO87" s="577"/>
      <c r="AP87" s="577"/>
      <c r="AQ87" s="577"/>
      <c r="AR87" s="577"/>
      <c r="AS87" s="577"/>
      <c r="AT87" s="577"/>
      <c r="AU87" s="577"/>
      <c r="AV87" s="577"/>
      <c r="AW87" s="577"/>
      <c r="AX87" s="577"/>
      <c r="AY87" s="577"/>
      <c r="AZ87" s="577"/>
    </row>
    <row r="88" spans="1:52" ht="15.75" customHeight="1" x14ac:dyDescent="0.2">
      <c r="A88" s="577"/>
      <c r="B88" s="577"/>
      <c r="C88" s="577"/>
      <c r="D88" s="577"/>
      <c r="E88" s="577"/>
      <c r="F88" s="577"/>
      <c r="G88" s="577"/>
      <c r="H88" s="577"/>
      <c r="I88" s="577"/>
      <c r="J88" s="577"/>
      <c r="K88" s="577"/>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c r="AO88" s="577"/>
      <c r="AP88" s="577"/>
      <c r="AQ88" s="577"/>
      <c r="AR88" s="577"/>
      <c r="AS88" s="577"/>
      <c r="AT88" s="577"/>
      <c r="AU88" s="577"/>
      <c r="AV88" s="577"/>
      <c r="AW88" s="577"/>
      <c r="AX88" s="577"/>
      <c r="AY88" s="577"/>
      <c r="AZ88" s="577"/>
    </row>
    <row r="89" spans="1:52" ht="15.75" customHeight="1" x14ac:dyDescent="0.2">
      <c r="A89" s="577"/>
      <c r="B89" s="577"/>
      <c r="C89" s="577"/>
      <c r="D89" s="577"/>
      <c r="E89" s="577"/>
      <c r="F89" s="577"/>
      <c r="G89" s="577"/>
      <c r="H89" s="577"/>
      <c r="I89" s="577"/>
      <c r="J89" s="577"/>
      <c r="K89" s="577"/>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c r="AO89" s="577"/>
      <c r="AP89" s="577"/>
      <c r="AQ89" s="577"/>
      <c r="AR89" s="577"/>
      <c r="AS89" s="577"/>
      <c r="AT89" s="577"/>
      <c r="AU89" s="577"/>
      <c r="AV89" s="577"/>
      <c r="AW89" s="577"/>
      <c r="AX89" s="577"/>
      <c r="AY89" s="577"/>
      <c r="AZ89" s="577"/>
    </row>
    <row r="90" spans="1:52" ht="15.75" customHeight="1" x14ac:dyDescent="0.2">
      <c r="A90" s="577"/>
      <c r="B90" s="577"/>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c r="AO90" s="577"/>
      <c r="AP90" s="577"/>
      <c r="AQ90" s="577"/>
      <c r="AR90" s="577"/>
      <c r="AS90" s="577"/>
      <c r="AT90" s="577"/>
      <c r="AU90" s="577"/>
      <c r="AV90" s="577"/>
      <c r="AW90" s="577"/>
      <c r="AX90" s="577"/>
      <c r="AY90" s="577"/>
      <c r="AZ90" s="577"/>
    </row>
    <row r="91" spans="1:52" ht="15.75" customHeight="1" x14ac:dyDescent="0.2">
      <c r="A91" s="577"/>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c r="AO91" s="577"/>
      <c r="AP91" s="577"/>
      <c r="AQ91" s="577"/>
      <c r="AR91" s="577"/>
      <c r="AS91" s="577"/>
      <c r="AT91" s="577"/>
      <c r="AU91" s="577"/>
      <c r="AV91" s="577"/>
      <c r="AW91" s="577"/>
      <c r="AX91" s="577"/>
      <c r="AY91" s="577"/>
      <c r="AZ91" s="577"/>
    </row>
    <row r="92" spans="1:52" ht="15.75" customHeight="1" x14ac:dyDescent="0.2">
      <c r="A92" s="577"/>
      <c r="B92" s="577"/>
      <c r="C92" s="577"/>
      <c r="D92" s="577"/>
      <c r="E92" s="577"/>
      <c r="F92" s="577"/>
      <c r="G92" s="577"/>
      <c r="H92" s="577"/>
      <c r="I92" s="577"/>
      <c r="J92" s="577"/>
      <c r="K92" s="577"/>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c r="AO92" s="577"/>
      <c r="AP92" s="577"/>
      <c r="AQ92" s="577"/>
      <c r="AR92" s="577"/>
      <c r="AS92" s="577"/>
      <c r="AT92" s="577"/>
      <c r="AU92" s="577"/>
      <c r="AV92" s="577"/>
      <c r="AW92" s="577"/>
      <c r="AX92" s="577"/>
      <c r="AY92" s="577"/>
      <c r="AZ92" s="577"/>
    </row>
    <row r="93" spans="1:52" ht="15.75" customHeight="1" x14ac:dyDescent="0.2">
      <c r="A93" s="577"/>
      <c r="B93" s="577"/>
      <c r="C93" s="577"/>
      <c r="D93" s="577"/>
      <c r="E93" s="577"/>
      <c r="F93" s="577"/>
      <c r="G93" s="577"/>
      <c r="H93" s="577"/>
      <c r="I93" s="577"/>
      <c r="J93" s="577"/>
      <c r="K93" s="577"/>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c r="AO93" s="577"/>
      <c r="AP93" s="577"/>
      <c r="AQ93" s="577"/>
      <c r="AR93" s="577"/>
      <c r="AS93" s="577"/>
      <c r="AT93" s="577"/>
      <c r="AU93" s="577"/>
      <c r="AV93" s="577"/>
      <c r="AW93" s="577"/>
      <c r="AX93" s="577"/>
      <c r="AY93" s="577"/>
      <c r="AZ93" s="577"/>
    </row>
    <row r="94" spans="1:52" ht="15.75" customHeight="1" x14ac:dyDescent="0.2">
      <c r="A94" s="577"/>
      <c r="B94" s="577"/>
      <c r="C94" s="577"/>
      <c r="D94" s="577"/>
      <c r="E94" s="577"/>
      <c r="F94" s="577"/>
      <c r="G94" s="577"/>
      <c r="H94" s="577"/>
      <c r="I94" s="577"/>
      <c r="J94" s="577"/>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c r="AO94" s="577"/>
      <c r="AP94" s="577"/>
      <c r="AQ94" s="577"/>
      <c r="AR94" s="577"/>
      <c r="AS94" s="577"/>
      <c r="AT94" s="577"/>
      <c r="AU94" s="577"/>
      <c r="AV94" s="577"/>
      <c r="AW94" s="577"/>
      <c r="AX94" s="577"/>
      <c r="AY94" s="577"/>
      <c r="AZ94" s="577"/>
    </row>
    <row r="95" spans="1:52" ht="15.75" customHeight="1" x14ac:dyDescent="0.2">
      <c r="A95" s="577"/>
      <c r="B95" s="577"/>
      <c r="C95" s="577"/>
      <c r="D95" s="577"/>
      <c r="E95" s="577"/>
      <c r="F95" s="577"/>
      <c r="G95" s="577"/>
      <c r="H95" s="577"/>
      <c r="I95" s="577"/>
      <c r="J95" s="577"/>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c r="AO95" s="577"/>
      <c r="AP95" s="577"/>
      <c r="AQ95" s="577"/>
      <c r="AR95" s="577"/>
      <c r="AS95" s="577"/>
      <c r="AT95" s="577"/>
      <c r="AU95" s="577"/>
      <c r="AV95" s="577"/>
      <c r="AW95" s="577"/>
      <c r="AX95" s="577"/>
      <c r="AY95" s="577"/>
      <c r="AZ95" s="577"/>
    </row>
    <row r="96" spans="1:52" ht="15.75" customHeight="1" x14ac:dyDescent="0.2">
      <c r="A96" s="577"/>
      <c r="B96" s="577"/>
      <c r="C96" s="577"/>
      <c r="D96" s="577"/>
      <c r="E96" s="577"/>
      <c r="F96" s="577"/>
      <c r="G96" s="577"/>
      <c r="H96" s="577"/>
      <c r="I96" s="577"/>
      <c r="J96" s="577"/>
      <c r="K96" s="577"/>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c r="AO96" s="577"/>
      <c r="AP96" s="577"/>
      <c r="AQ96" s="577"/>
      <c r="AR96" s="577"/>
      <c r="AS96" s="577"/>
      <c r="AT96" s="577"/>
      <c r="AU96" s="577"/>
      <c r="AV96" s="577"/>
      <c r="AW96" s="577"/>
      <c r="AX96" s="577"/>
      <c r="AY96" s="577"/>
      <c r="AZ96" s="577"/>
    </row>
    <row r="97" spans="1:52" ht="15.75" customHeight="1" x14ac:dyDescent="0.2">
      <c r="A97" s="577"/>
      <c r="B97" s="577"/>
      <c r="C97" s="577"/>
      <c r="D97" s="577"/>
      <c r="E97" s="577"/>
      <c r="F97" s="577"/>
      <c r="G97" s="577"/>
      <c r="H97" s="577"/>
      <c r="I97" s="577"/>
      <c r="J97" s="577"/>
      <c r="K97" s="577"/>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c r="AO97" s="577"/>
      <c r="AP97" s="577"/>
      <c r="AQ97" s="577"/>
      <c r="AR97" s="577"/>
      <c r="AS97" s="577"/>
      <c r="AT97" s="577"/>
      <c r="AU97" s="577"/>
      <c r="AV97" s="577"/>
      <c r="AW97" s="577"/>
      <c r="AX97" s="577"/>
      <c r="AY97" s="577"/>
      <c r="AZ97" s="577"/>
    </row>
    <row r="98" spans="1:52" ht="15.75" customHeight="1" x14ac:dyDescent="0.2">
      <c r="A98" s="577"/>
      <c r="B98" s="577"/>
      <c r="C98" s="577"/>
      <c r="D98" s="577"/>
      <c r="E98" s="577"/>
      <c r="F98" s="577"/>
      <c r="G98" s="577"/>
      <c r="H98" s="577"/>
      <c r="I98" s="577"/>
      <c r="J98" s="577"/>
      <c r="K98" s="577"/>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c r="AO98" s="577"/>
      <c r="AP98" s="577"/>
      <c r="AQ98" s="577"/>
      <c r="AR98" s="577"/>
      <c r="AS98" s="577"/>
      <c r="AT98" s="577"/>
      <c r="AU98" s="577"/>
      <c r="AV98" s="577"/>
      <c r="AW98" s="577"/>
      <c r="AX98" s="577"/>
      <c r="AY98" s="577"/>
      <c r="AZ98" s="577"/>
    </row>
    <row r="99" spans="1:52" ht="15.75" customHeight="1" x14ac:dyDescent="0.2">
      <c r="A99" s="577"/>
      <c r="B99" s="577"/>
      <c r="C99" s="577"/>
      <c r="D99" s="577"/>
      <c r="E99" s="577"/>
      <c r="F99" s="577"/>
      <c r="G99" s="577"/>
      <c r="H99" s="577"/>
      <c r="I99" s="577"/>
      <c r="J99" s="577"/>
      <c r="K99" s="577"/>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c r="AO99" s="577"/>
      <c r="AP99" s="577"/>
      <c r="AQ99" s="577"/>
      <c r="AR99" s="577"/>
      <c r="AS99" s="577"/>
      <c r="AT99" s="577"/>
      <c r="AU99" s="577"/>
      <c r="AV99" s="577"/>
      <c r="AW99" s="577"/>
      <c r="AX99" s="577"/>
      <c r="AY99" s="577"/>
      <c r="AZ99" s="577"/>
    </row>
    <row r="100" spans="1:52" ht="15.75" customHeight="1" x14ac:dyDescent="0.2">
      <c r="A100" s="577"/>
      <c r="B100" s="577"/>
      <c r="C100" s="577"/>
      <c r="D100" s="577"/>
      <c r="E100" s="577"/>
      <c r="F100" s="577"/>
      <c r="G100" s="577"/>
      <c r="H100" s="577"/>
      <c r="I100" s="577"/>
      <c r="J100" s="577"/>
      <c r="K100" s="577"/>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c r="AO100" s="577"/>
      <c r="AP100" s="577"/>
      <c r="AQ100" s="577"/>
      <c r="AR100" s="577"/>
      <c r="AS100" s="577"/>
      <c r="AT100" s="577"/>
      <c r="AU100" s="577"/>
      <c r="AV100" s="577"/>
      <c r="AW100" s="577"/>
      <c r="AX100" s="577"/>
      <c r="AY100" s="577"/>
      <c r="AZ100" s="577"/>
    </row>
    <row r="101" spans="1:52" ht="15.75" customHeight="1" x14ac:dyDescent="0.2">
      <c r="A101" s="577"/>
      <c r="B101" s="577"/>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c r="AO101" s="577"/>
      <c r="AP101" s="577"/>
      <c r="AQ101" s="577"/>
      <c r="AR101" s="577"/>
      <c r="AS101" s="577"/>
      <c r="AT101" s="577"/>
      <c r="AU101" s="577"/>
      <c r="AV101" s="577"/>
      <c r="AW101" s="577"/>
      <c r="AX101" s="577"/>
      <c r="AY101" s="577"/>
      <c r="AZ101" s="577"/>
    </row>
    <row r="102" spans="1:52" ht="15.75" customHeight="1" x14ac:dyDescent="0.2">
      <c r="A102" s="577"/>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c r="AO102" s="577"/>
      <c r="AP102" s="577"/>
      <c r="AQ102" s="577"/>
      <c r="AR102" s="577"/>
      <c r="AS102" s="577"/>
      <c r="AT102" s="577"/>
      <c r="AU102" s="577"/>
      <c r="AV102" s="577"/>
      <c r="AW102" s="577"/>
      <c r="AX102" s="577"/>
      <c r="AY102" s="577"/>
      <c r="AZ102" s="577"/>
    </row>
    <row r="103" spans="1:52" ht="15.75" customHeight="1" x14ac:dyDescent="0.2">
      <c r="A103" s="577"/>
      <c r="B103" s="577"/>
      <c r="C103" s="577"/>
      <c r="D103" s="577"/>
      <c r="E103" s="577"/>
      <c r="F103" s="577"/>
      <c r="G103" s="577"/>
      <c r="H103" s="577"/>
      <c r="I103" s="577"/>
      <c r="J103" s="577"/>
      <c r="K103" s="577"/>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c r="AO103" s="577"/>
      <c r="AP103" s="577"/>
      <c r="AQ103" s="577"/>
      <c r="AR103" s="577"/>
      <c r="AS103" s="577"/>
      <c r="AT103" s="577"/>
      <c r="AU103" s="577"/>
      <c r="AV103" s="577"/>
      <c r="AW103" s="577"/>
      <c r="AX103" s="577"/>
      <c r="AY103" s="577"/>
      <c r="AZ103" s="577"/>
    </row>
    <row r="104" spans="1:52" ht="15.75" customHeight="1" x14ac:dyDescent="0.2">
      <c r="A104" s="577"/>
      <c r="B104" s="577"/>
      <c r="C104" s="577"/>
      <c r="D104" s="577"/>
      <c r="E104" s="577"/>
      <c r="F104" s="577"/>
      <c r="G104" s="577"/>
      <c r="H104" s="577"/>
      <c r="I104" s="577"/>
      <c r="J104" s="577"/>
      <c r="K104" s="577"/>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c r="AO104" s="577"/>
      <c r="AP104" s="577"/>
      <c r="AQ104" s="577"/>
      <c r="AR104" s="577"/>
      <c r="AS104" s="577"/>
      <c r="AT104" s="577"/>
      <c r="AU104" s="577"/>
      <c r="AV104" s="577"/>
      <c r="AW104" s="577"/>
      <c r="AX104" s="577"/>
      <c r="AY104" s="577"/>
      <c r="AZ104" s="577"/>
    </row>
    <row r="105" spans="1:52" ht="15.75" customHeight="1" x14ac:dyDescent="0.2">
      <c r="A105" s="577"/>
      <c r="B105" s="577"/>
      <c r="C105" s="577"/>
      <c r="D105" s="577"/>
      <c r="E105" s="577"/>
      <c r="F105" s="577"/>
      <c r="G105" s="577"/>
      <c r="H105" s="577"/>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row>
    <row r="106" spans="1:52" ht="15.75" customHeight="1" x14ac:dyDescent="0.2">
      <c r="A106" s="577"/>
      <c r="B106" s="577"/>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577"/>
      <c r="AY106" s="577"/>
      <c r="AZ106" s="577"/>
    </row>
    <row r="107" spans="1:52" ht="15.75" customHeight="1" x14ac:dyDescent="0.2">
      <c r="A107" s="577"/>
      <c r="B107" s="577"/>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c r="AO107" s="577"/>
      <c r="AP107" s="577"/>
      <c r="AQ107" s="577"/>
      <c r="AR107" s="577"/>
      <c r="AS107" s="577"/>
      <c r="AT107" s="577"/>
      <c r="AU107" s="577"/>
      <c r="AV107" s="577"/>
      <c r="AW107" s="577"/>
      <c r="AX107" s="577"/>
      <c r="AY107" s="577"/>
      <c r="AZ107" s="577"/>
    </row>
    <row r="108" spans="1:52" ht="15.75" customHeight="1" x14ac:dyDescent="0.2">
      <c r="A108" s="577"/>
      <c r="B108" s="577"/>
      <c r="C108" s="577"/>
      <c r="D108" s="577"/>
      <c r="E108" s="577"/>
      <c r="F108" s="577"/>
      <c r="G108" s="577"/>
      <c r="H108" s="577"/>
      <c r="I108" s="577"/>
      <c r="J108" s="577"/>
      <c r="K108" s="577"/>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c r="AS108" s="577"/>
      <c r="AT108" s="577"/>
      <c r="AU108" s="577"/>
      <c r="AV108" s="577"/>
      <c r="AW108" s="577"/>
      <c r="AX108" s="577"/>
      <c r="AY108" s="577"/>
      <c r="AZ108" s="577"/>
    </row>
    <row r="109" spans="1:52" ht="15.75" customHeight="1" x14ac:dyDescent="0.2">
      <c r="A109" s="577"/>
      <c r="B109" s="577"/>
      <c r="C109" s="577"/>
      <c r="D109" s="577"/>
      <c r="E109" s="577"/>
      <c r="F109" s="577"/>
      <c r="G109" s="577"/>
      <c r="H109" s="577"/>
      <c r="I109" s="577"/>
      <c r="J109" s="577"/>
      <c r="K109" s="577"/>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c r="AO109" s="577"/>
      <c r="AP109" s="577"/>
      <c r="AQ109" s="577"/>
      <c r="AR109" s="577"/>
      <c r="AS109" s="577"/>
      <c r="AT109" s="577"/>
      <c r="AU109" s="577"/>
      <c r="AV109" s="577"/>
      <c r="AW109" s="577"/>
      <c r="AX109" s="577"/>
      <c r="AY109" s="577"/>
      <c r="AZ109" s="577"/>
    </row>
    <row r="110" spans="1:52" ht="15.75" customHeight="1" x14ac:dyDescent="0.2">
      <c r="A110" s="577"/>
      <c r="B110" s="577"/>
      <c r="C110" s="577"/>
      <c r="D110" s="577"/>
      <c r="E110" s="577"/>
      <c r="F110" s="577"/>
      <c r="G110" s="577"/>
      <c r="H110" s="577"/>
      <c r="I110" s="577"/>
      <c r="J110" s="577"/>
      <c r="K110" s="577"/>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c r="AO110" s="577"/>
      <c r="AP110" s="577"/>
      <c r="AQ110" s="577"/>
      <c r="AR110" s="577"/>
      <c r="AS110" s="577"/>
      <c r="AT110" s="577"/>
      <c r="AU110" s="577"/>
      <c r="AV110" s="577"/>
      <c r="AW110" s="577"/>
      <c r="AX110" s="577"/>
      <c r="AY110" s="577"/>
      <c r="AZ110" s="577"/>
    </row>
    <row r="111" spans="1:52" ht="15.75" customHeight="1" x14ac:dyDescent="0.2">
      <c r="A111" s="577"/>
      <c r="B111" s="577"/>
      <c r="C111" s="577"/>
      <c r="D111" s="577"/>
      <c r="E111" s="577"/>
      <c r="F111" s="577"/>
      <c r="G111" s="577"/>
      <c r="H111" s="577"/>
      <c r="I111" s="577"/>
      <c r="J111" s="577"/>
      <c r="K111" s="577"/>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c r="AO111" s="577"/>
      <c r="AP111" s="577"/>
      <c r="AQ111" s="577"/>
      <c r="AR111" s="577"/>
      <c r="AS111" s="577"/>
      <c r="AT111" s="577"/>
      <c r="AU111" s="577"/>
      <c r="AV111" s="577"/>
      <c r="AW111" s="577"/>
      <c r="AX111" s="577"/>
      <c r="AY111" s="577"/>
      <c r="AZ111" s="577"/>
    </row>
    <row r="112" spans="1:52" ht="15.75" customHeight="1" x14ac:dyDescent="0.2">
      <c r="A112" s="577"/>
      <c r="B112" s="577"/>
      <c r="C112" s="577"/>
      <c r="D112" s="577"/>
      <c r="E112" s="577"/>
      <c r="F112" s="577"/>
      <c r="G112" s="577"/>
      <c r="H112" s="577"/>
      <c r="I112" s="577"/>
      <c r="J112" s="577"/>
      <c r="K112" s="577"/>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c r="AO112" s="577"/>
      <c r="AP112" s="577"/>
      <c r="AQ112" s="577"/>
      <c r="AR112" s="577"/>
      <c r="AS112" s="577"/>
      <c r="AT112" s="577"/>
      <c r="AU112" s="577"/>
      <c r="AV112" s="577"/>
      <c r="AW112" s="577"/>
      <c r="AX112" s="577"/>
      <c r="AY112" s="577"/>
      <c r="AZ112" s="577"/>
    </row>
    <row r="113" spans="1:52" ht="15.75" customHeight="1" x14ac:dyDescent="0.2">
      <c r="A113" s="577"/>
      <c r="B113" s="577"/>
      <c r="C113" s="577"/>
      <c r="D113" s="577"/>
      <c r="E113" s="577"/>
      <c r="F113" s="577"/>
      <c r="G113" s="577"/>
      <c r="H113" s="577"/>
      <c r="I113" s="577"/>
      <c r="J113" s="577"/>
      <c r="K113" s="577"/>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c r="AO113" s="577"/>
      <c r="AP113" s="577"/>
      <c r="AQ113" s="577"/>
      <c r="AR113" s="577"/>
      <c r="AS113" s="577"/>
      <c r="AT113" s="577"/>
      <c r="AU113" s="577"/>
      <c r="AV113" s="577"/>
      <c r="AW113" s="577"/>
      <c r="AX113" s="577"/>
      <c r="AY113" s="577"/>
      <c r="AZ113" s="577"/>
    </row>
    <row r="114" spans="1:52" ht="15.75" customHeight="1" x14ac:dyDescent="0.2">
      <c r="A114" s="577"/>
      <c r="B114" s="577"/>
      <c r="C114" s="577"/>
      <c r="D114" s="577"/>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c r="AO114" s="577"/>
      <c r="AP114" s="577"/>
      <c r="AQ114" s="577"/>
      <c r="AR114" s="577"/>
      <c r="AS114" s="577"/>
      <c r="AT114" s="577"/>
      <c r="AU114" s="577"/>
      <c r="AV114" s="577"/>
      <c r="AW114" s="577"/>
      <c r="AX114" s="577"/>
      <c r="AY114" s="577"/>
      <c r="AZ114" s="577"/>
    </row>
    <row r="115" spans="1:52" ht="15.75" customHeight="1" x14ac:dyDescent="0.2">
      <c r="A115" s="577"/>
      <c r="B115" s="577"/>
      <c r="C115" s="577"/>
      <c r="D115" s="577"/>
      <c r="E115" s="577"/>
      <c r="F115" s="577"/>
      <c r="G115" s="577"/>
      <c r="H115" s="577"/>
      <c r="I115" s="577"/>
      <c r="J115" s="577"/>
      <c r="K115" s="577"/>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c r="AO115" s="577"/>
      <c r="AP115" s="577"/>
      <c r="AQ115" s="577"/>
      <c r="AR115" s="577"/>
      <c r="AS115" s="577"/>
      <c r="AT115" s="577"/>
      <c r="AU115" s="577"/>
      <c r="AV115" s="577"/>
      <c r="AW115" s="577"/>
      <c r="AX115" s="577"/>
      <c r="AY115" s="577"/>
      <c r="AZ115" s="577"/>
    </row>
    <row r="116" spans="1:52" ht="15.75" customHeight="1" x14ac:dyDescent="0.2">
      <c r="A116" s="577"/>
      <c r="B116" s="577"/>
      <c r="C116" s="577"/>
      <c r="D116" s="577"/>
      <c r="E116" s="577"/>
      <c r="F116" s="577"/>
      <c r="G116" s="577"/>
      <c r="H116" s="577"/>
      <c r="I116" s="577"/>
      <c r="J116" s="577"/>
      <c r="K116" s="577"/>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c r="AO116" s="577"/>
      <c r="AP116" s="577"/>
      <c r="AQ116" s="577"/>
      <c r="AR116" s="577"/>
      <c r="AS116" s="577"/>
      <c r="AT116" s="577"/>
      <c r="AU116" s="577"/>
      <c r="AV116" s="577"/>
      <c r="AW116" s="577"/>
      <c r="AX116" s="577"/>
      <c r="AY116" s="577"/>
      <c r="AZ116" s="577"/>
    </row>
    <row r="117" spans="1:52" ht="15.75" customHeight="1" x14ac:dyDescent="0.2">
      <c r="A117" s="577"/>
      <c r="B117" s="577"/>
      <c r="C117" s="577"/>
      <c r="D117" s="577"/>
      <c r="E117" s="577"/>
      <c r="F117" s="577"/>
      <c r="G117" s="577"/>
      <c r="H117" s="577"/>
      <c r="I117" s="577"/>
      <c r="J117" s="577"/>
      <c r="K117" s="577"/>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c r="AO117" s="577"/>
      <c r="AP117" s="577"/>
      <c r="AQ117" s="577"/>
      <c r="AR117" s="577"/>
      <c r="AS117" s="577"/>
      <c r="AT117" s="577"/>
      <c r="AU117" s="577"/>
      <c r="AV117" s="577"/>
      <c r="AW117" s="577"/>
      <c r="AX117" s="577"/>
      <c r="AY117" s="577"/>
      <c r="AZ117" s="577"/>
    </row>
    <row r="118" spans="1:52" ht="15.75" customHeight="1" x14ac:dyDescent="0.2">
      <c r="A118" s="577"/>
      <c r="B118" s="577"/>
      <c r="C118" s="577"/>
      <c r="D118" s="577"/>
      <c r="E118" s="577"/>
      <c r="F118" s="577"/>
      <c r="G118" s="577"/>
      <c r="H118" s="577"/>
      <c r="I118" s="577"/>
      <c r="J118" s="577"/>
      <c r="K118" s="577"/>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c r="AO118" s="577"/>
      <c r="AP118" s="577"/>
      <c r="AQ118" s="577"/>
      <c r="AR118" s="577"/>
      <c r="AS118" s="577"/>
      <c r="AT118" s="577"/>
      <c r="AU118" s="577"/>
      <c r="AV118" s="577"/>
      <c r="AW118" s="577"/>
      <c r="AX118" s="577"/>
      <c r="AY118" s="577"/>
      <c r="AZ118" s="577"/>
    </row>
    <row r="119" spans="1:52" ht="15.75" customHeight="1" x14ac:dyDescent="0.2">
      <c r="A119" s="577"/>
      <c r="B119" s="577"/>
      <c r="C119" s="577"/>
      <c r="D119" s="577"/>
      <c r="E119" s="577"/>
      <c r="F119" s="577"/>
      <c r="G119" s="577"/>
      <c r="H119" s="577"/>
      <c r="I119" s="577"/>
      <c r="J119" s="577"/>
      <c r="K119" s="577"/>
      <c r="L119" s="577"/>
      <c r="M119" s="577"/>
      <c r="N119" s="577"/>
      <c r="O119" s="577"/>
      <c r="P119" s="577"/>
      <c r="Q119" s="577"/>
      <c r="R119" s="577"/>
      <c r="S119" s="577"/>
      <c r="T119" s="577"/>
      <c r="U119" s="577"/>
      <c r="V119" s="577"/>
      <c r="W119" s="577"/>
      <c r="X119" s="577"/>
      <c r="Y119" s="577"/>
      <c r="Z119" s="577"/>
      <c r="AA119" s="577"/>
      <c r="AB119" s="577"/>
      <c r="AC119" s="577"/>
      <c r="AD119" s="577"/>
      <c r="AE119" s="577"/>
      <c r="AF119" s="577"/>
      <c r="AG119" s="577"/>
      <c r="AH119" s="577"/>
      <c r="AI119" s="577"/>
      <c r="AJ119" s="577"/>
      <c r="AK119" s="577"/>
      <c r="AL119" s="577"/>
      <c r="AM119" s="577"/>
      <c r="AN119" s="577"/>
      <c r="AO119" s="577"/>
      <c r="AP119" s="577"/>
      <c r="AQ119" s="577"/>
      <c r="AR119" s="577"/>
      <c r="AS119" s="577"/>
      <c r="AT119" s="577"/>
      <c r="AU119" s="577"/>
      <c r="AV119" s="577"/>
      <c r="AW119" s="577"/>
      <c r="AX119" s="577"/>
      <c r="AY119" s="577"/>
      <c r="AZ119" s="577"/>
    </row>
    <row r="120" spans="1:52" ht="15.75" customHeight="1" x14ac:dyDescent="0.2">
      <c r="A120" s="577"/>
      <c r="B120" s="577"/>
      <c r="C120" s="577"/>
      <c r="D120" s="577"/>
      <c r="E120" s="577"/>
      <c r="F120" s="577"/>
      <c r="G120" s="577"/>
      <c r="H120" s="577"/>
      <c r="I120" s="577"/>
      <c r="J120" s="577"/>
      <c r="K120" s="577"/>
      <c r="L120" s="577"/>
      <c r="M120" s="577"/>
      <c r="N120" s="577"/>
      <c r="O120" s="577"/>
      <c r="P120" s="577"/>
      <c r="Q120" s="577"/>
      <c r="R120" s="577"/>
      <c r="S120" s="577"/>
      <c r="T120" s="577"/>
      <c r="U120" s="577"/>
      <c r="V120" s="577"/>
      <c r="W120" s="577"/>
      <c r="X120" s="577"/>
      <c r="Y120" s="577"/>
      <c r="Z120" s="577"/>
      <c r="AA120" s="577"/>
      <c r="AB120" s="577"/>
      <c r="AC120" s="577"/>
      <c r="AD120" s="577"/>
      <c r="AE120" s="577"/>
      <c r="AF120" s="577"/>
      <c r="AG120" s="577"/>
      <c r="AH120" s="577"/>
      <c r="AI120" s="577"/>
      <c r="AJ120" s="577"/>
      <c r="AK120" s="577"/>
      <c r="AL120" s="577"/>
      <c r="AM120" s="577"/>
      <c r="AN120" s="577"/>
      <c r="AO120" s="577"/>
      <c r="AP120" s="577"/>
      <c r="AQ120" s="577"/>
      <c r="AR120" s="577"/>
      <c r="AS120" s="577"/>
      <c r="AT120" s="577"/>
      <c r="AU120" s="577"/>
      <c r="AV120" s="577"/>
      <c r="AW120" s="577"/>
      <c r="AX120" s="577"/>
      <c r="AY120" s="577"/>
      <c r="AZ120" s="577"/>
    </row>
    <row r="121" spans="1:52" ht="15.75" customHeight="1" x14ac:dyDescent="0.2">
      <c r="A121" s="577"/>
      <c r="B121" s="577"/>
      <c r="C121" s="577"/>
      <c r="D121" s="577"/>
      <c r="E121" s="577"/>
      <c r="F121" s="577"/>
      <c r="G121" s="577"/>
      <c r="H121" s="577"/>
      <c r="I121" s="577"/>
      <c r="J121" s="577"/>
      <c r="K121" s="577"/>
      <c r="L121" s="577"/>
      <c r="M121" s="577"/>
      <c r="N121" s="577"/>
      <c r="O121" s="577"/>
      <c r="P121" s="577"/>
      <c r="Q121" s="577"/>
      <c r="R121" s="577"/>
      <c r="S121" s="577"/>
      <c r="T121" s="577"/>
      <c r="U121" s="577"/>
      <c r="V121" s="577"/>
      <c r="W121" s="577"/>
      <c r="X121" s="577"/>
      <c r="Y121" s="577"/>
      <c r="Z121" s="577"/>
      <c r="AA121" s="577"/>
      <c r="AB121" s="577"/>
      <c r="AC121" s="577"/>
      <c r="AD121" s="577"/>
      <c r="AE121" s="577"/>
      <c r="AF121" s="577"/>
      <c r="AG121" s="577"/>
      <c r="AH121" s="577"/>
      <c r="AI121" s="577"/>
      <c r="AJ121" s="577"/>
      <c r="AK121" s="577"/>
      <c r="AL121" s="577"/>
      <c r="AM121" s="577"/>
      <c r="AN121" s="577"/>
      <c r="AO121" s="577"/>
      <c r="AP121" s="577"/>
      <c r="AQ121" s="577"/>
      <c r="AR121" s="577"/>
      <c r="AS121" s="577"/>
      <c r="AT121" s="577"/>
      <c r="AU121" s="577"/>
      <c r="AV121" s="577"/>
      <c r="AW121" s="577"/>
      <c r="AX121" s="577"/>
      <c r="AY121" s="577"/>
      <c r="AZ121" s="577"/>
    </row>
    <row r="122" spans="1:52" ht="15.75" customHeight="1" x14ac:dyDescent="0.2">
      <c r="A122" s="577"/>
      <c r="B122" s="577"/>
      <c r="C122" s="577"/>
      <c r="D122" s="577"/>
      <c r="E122" s="577"/>
      <c r="F122" s="577"/>
      <c r="G122" s="577"/>
      <c r="H122" s="577"/>
      <c r="I122" s="577"/>
      <c r="J122" s="577"/>
      <c r="K122" s="577"/>
      <c r="L122" s="577"/>
      <c r="M122" s="577"/>
      <c r="N122" s="577"/>
      <c r="O122" s="577"/>
      <c r="P122" s="577"/>
      <c r="Q122" s="577"/>
      <c r="R122" s="577"/>
      <c r="S122" s="577"/>
      <c r="T122" s="577"/>
      <c r="U122" s="577"/>
      <c r="V122" s="577"/>
      <c r="W122" s="577"/>
      <c r="X122" s="577"/>
      <c r="Y122" s="577"/>
      <c r="Z122" s="577"/>
      <c r="AA122" s="577"/>
      <c r="AB122" s="577"/>
      <c r="AC122" s="577"/>
      <c r="AD122" s="577"/>
      <c r="AE122" s="577"/>
      <c r="AF122" s="577"/>
      <c r="AG122" s="577"/>
      <c r="AH122" s="577"/>
      <c r="AI122" s="577"/>
      <c r="AJ122" s="577"/>
      <c r="AK122" s="577"/>
      <c r="AL122" s="577"/>
      <c r="AM122" s="577"/>
      <c r="AN122" s="577"/>
      <c r="AO122" s="577"/>
      <c r="AP122" s="577"/>
      <c r="AQ122" s="577"/>
      <c r="AR122" s="577"/>
      <c r="AS122" s="577"/>
      <c r="AT122" s="577"/>
      <c r="AU122" s="577"/>
      <c r="AV122" s="577"/>
      <c r="AW122" s="577"/>
      <c r="AX122" s="577"/>
      <c r="AY122" s="577"/>
      <c r="AZ122" s="577"/>
    </row>
    <row r="123" spans="1:52" ht="15.75" customHeight="1" x14ac:dyDescent="0.2">
      <c r="A123" s="577"/>
      <c r="B123" s="577"/>
      <c r="C123" s="577"/>
      <c r="D123" s="577"/>
      <c r="E123" s="577"/>
      <c r="F123" s="577"/>
      <c r="G123" s="577"/>
      <c r="H123" s="577"/>
      <c r="I123" s="577"/>
      <c r="J123" s="577"/>
      <c r="K123" s="577"/>
      <c r="L123" s="577"/>
      <c r="M123" s="577"/>
      <c r="N123" s="577"/>
      <c r="O123" s="577"/>
      <c r="P123" s="577"/>
      <c r="Q123" s="577"/>
      <c r="R123" s="577"/>
      <c r="S123" s="577"/>
      <c r="T123" s="577"/>
      <c r="U123" s="577"/>
      <c r="V123" s="577"/>
      <c r="W123" s="577"/>
      <c r="X123" s="577"/>
      <c r="Y123" s="577"/>
      <c r="Z123" s="577"/>
      <c r="AA123" s="577"/>
      <c r="AB123" s="577"/>
      <c r="AC123" s="577"/>
      <c r="AD123" s="577"/>
      <c r="AE123" s="577"/>
      <c r="AF123" s="577"/>
      <c r="AG123" s="577"/>
      <c r="AH123" s="577"/>
      <c r="AI123" s="577"/>
      <c r="AJ123" s="577"/>
      <c r="AK123" s="577"/>
      <c r="AL123" s="577"/>
      <c r="AM123" s="577"/>
      <c r="AN123" s="577"/>
      <c r="AO123" s="577"/>
      <c r="AP123" s="577"/>
      <c r="AQ123" s="577"/>
      <c r="AR123" s="577"/>
      <c r="AS123" s="577"/>
      <c r="AT123" s="577"/>
      <c r="AU123" s="577"/>
      <c r="AV123" s="577"/>
      <c r="AW123" s="577"/>
      <c r="AX123" s="577"/>
      <c r="AY123" s="577"/>
      <c r="AZ123" s="577"/>
    </row>
    <row r="124" spans="1:52" ht="15.75" customHeight="1" x14ac:dyDescent="0.2">
      <c r="A124" s="577"/>
      <c r="B124" s="577"/>
      <c r="C124" s="577"/>
      <c r="D124" s="577"/>
      <c r="E124" s="577"/>
      <c r="F124" s="577"/>
      <c r="G124" s="577"/>
      <c r="H124" s="577"/>
      <c r="I124" s="577"/>
      <c r="J124" s="577"/>
      <c r="K124" s="577"/>
      <c r="L124" s="577"/>
      <c r="M124" s="577"/>
      <c r="N124" s="577"/>
      <c r="O124" s="577"/>
      <c r="P124" s="577"/>
      <c r="Q124" s="577"/>
      <c r="R124" s="577"/>
      <c r="S124" s="577"/>
      <c r="T124" s="577"/>
      <c r="U124" s="577"/>
      <c r="V124" s="577"/>
      <c r="W124" s="577"/>
      <c r="X124" s="577"/>
      <c r="Y124" s="577"/>
      <c r="Z124" s="577"/>
      <c r="AA124" s="577"/>
      <c r="AB124" s="577"/>
      <c r="AC124" s="577"/>
      <c r="AD124" s="577"/>
      <c r="AE124" s="577"/>
      <c r="AF124" s="577"/>
      <c r="AG124" s="577"/>
      <c r="AH124" s="577"/>
      <c r="AI124" s="577"/>
      <c r="AJ124" s="577"/>
      <c r="AK124" s="577"/>
      <c r="AL124" s="577"/>
      <c r="AM124" s="577"/>
      <c r="AN124" s="577"/>
      <c r="AO124" s="577"/>
      <c r="AP124" s="577"/>
      <c r="AQ124" s="577"/>
      <c r="AR124" s="577"/>
      <c r="AS124" s="577"/>
      <c r="AT124" s="577"/>
      <c r="AU124" s="577"/>
      <c r="AV124" s="577"/>
      <c r="AW124" s="577"/>
      <c r="AX124" s="577"/>
      <c r="AY124" s="577"/>
      <c r="AZ124" s="577"/>
    </row>
    <row r="125" spans="1:52" ht="15.75" customHeight="1" x14ac:dyDescent="0.2">
      <c r="A125" s="577"/>
      <c r="B125" s="577"/>
      <c r="C125" s="577"/>
      <c r="D125" s="577"/>
      <c r="E125" s="577"/>
      <c r="F125" s="577"/>
      <c r="G125" s="577"/>
      <c r="H125" s="577"/>
      <c r="I125" s="577"/>
      <c r="J125" s="577"/>
      <c r="K125" s="577"/>
      <c r="L125" s="577"/>
      <c r="M125" s="577"/>
      <c r="N125" s="577"/>
      <c r="O125" s="577"/>
      <c r="P125" s="577"/>
      <c r="Q125" s="577"/>
      <c r="R125" s="577"/>
      <c r="S125" s="577"/>
      <c r="T125" s="577"/>
      <c r="U125" s="577"/>
      <c r="V125" s="577"/>
      <c r="W125" s="577"/>
      <c r="X125" s="577"/>
      <c r="Y125" s="577"/>
      <c r="Z125" s="577"/>
      <c r="AA125" s="577"/>
      <c r="AB125" s="577"/>
      <c r="AC125" s="577"/>
      <c r="AD125" s="577"/>
      <c r="AE125" s="577"/>
      <c r="AF125" s="577"/>
      <c r="AG125" s="577"/>
      <c r="AH125" s="577"/>
      <c r="AI125" s="577"/>
      <c r="AJ125" s="577"/>
      <c r="AK125" s="577"/>
      <c r="AL125" s="577"/>
      <c r="AM125" s="577"/>
      <c r="AN125" s="577"/>
      <c r="AO125" s="577"/>
      <c r="AP125" s="577"/>
      <c r="AQ125" s="577"/>
      <c r="AR125" s="577"/>
      <c r="AS125" s="577"/>
      <c r="AT125" s="577"/>
      <c r="AU125" s="577"/>
      <c r="AV125" s="577"/>
      <c r="AW125" s="577"/>
      <c r="AX125" s="577"/>
      <c r="AY125" s="577"/>
      <c r="AZ125" s="577"/>
    </row>
    <row r="126" spans="1:52" ht="15.75" customHeight="1" x14ac:dyDescent="0.2">
      <c r="A126" s="577"/>
      <c r="B126" s="577"/>
      <c r="C126" s="577"/>
      <c r="D126" s="577"/>
      <c r="E126" s="577"/>
      <c r="F126" s="577"/>
      <c r="G126" s="577"/>
      <c r="H126" s="577"/>
      <c r="I126" s="577"/>
      <c r="J126" s="577"/>
      <c r="K126" s="577"/>
      <c r="L126" s="577"/>
      <c r="M126" s="577"/>
      <c r="N126" s="577"/>
      <c r="O126" s="577"/>
      <c r="P126" s="577"/>
      <c r="Q126" s="577"/>
      <c r="R126" s="577"/>
      <c r="S126" s="577"/>
      <c r="T126" s="577"/>
      <c r="U126" s="577"/>
      <c r="V126" s="577"/>
      <c r="W126" s="577"/>
      <c r="X126" s="577"/>
      <c r="Y126" s="577"/>
      <c r="Z126" s="577"/>
      <c r="AA126" s="577"/>
      <c r="AB126" s="577"/>
      <c r="AC126" s="577"/>
      <c r="AD126" s="577"/>
      <c r="AE126" s="577"/>
      <c r="AF126" s="577"/>
      <c r="AG126" s="577"/>
      <c r="AH126" s="577"/>
      <c r="AI126" s="577"/>
      <c r="AJ126" s="577"/>
      <c r="AK126" s="577"/>
      <c r="AL126" s="577"/>
      <c r="AM126" s="577"/>
      <c r="AN126" s="577"/>
      <c r="AO126" s="577"/>
      <c r="AP126" s="577"/>
      <c r="AQ126" s="577"/>
      <c r="AR126" s="577"/>
      <c r="AS126" s="577"/>
      <c r="AT126" s="577"/>
      <c r="AU126" s="577"/>
      <c r="AV126" s="577"/>
      <c r="AW126" s="577"/>
      <c r="AX126" s="577"/>
      <c r="AY126" s="577"/>
      <c r="AZ126" s="577"/>
    </row>
    <row r="127" spans="1:52" ht="15.75" customHeight="1" x14ac:dyDescent="0.2">
      <c r="A127" s="577"/>
      <c r="B127" s="577"/>
      <c r="C127" s="577"/>
      <c r="D127" s="577"/>
      <c r="E127" s="577"/>
      <c r="F127" s="577"/>
      <c r="G127" s="577"/>
      <c r="H127" s="577"/>
      <c r="I127" s="577"/>
      <c r="J127" s="577"/>
      <c r="K127" s="577"/>
      <c r="L127" s="577"/>
      <c r="M127" s="577"/>
      <c r="N127" s="577"/>
      <c r="O127" s="577"/>
      <c r="P127" s="577"/>
      <c r="Q127" s="577"/>
      <c r="R127" s="577"/>
      <c r="S127" s="577"/>
      <c r="T127" s="577"/>
      <c r="U127" s="577"/>
      <c r="V127" s="577"/>
      <c r="W127" s="577"/>
      <c r="X127" s="577"/>
      <c r="Y127" s="577"/>
      <c r="Z127" s="577"/>
      <c r="AA127" s="577"/>
      <c r="AB127" s="577"/>
      <c r="AC127" s="577"/>
      <c r="AD127" s="577"/>
      <c r="AE127" s="577"/>
      <c r="AF127" s="577"/>
      <c r="AG127" s="577"/>
      <c r="AH127" s="577"/>
      <c r="AI127" s="577"/>
      <c r="AJ127" s="577"/>
      <c r="AK127" s="577"/>
      <c r="AL127" s="577"/>
      <c r="AM127" s="577"/>
      <c r="AN127" s="577"/>
      <c r="AO127" s="577"/>
      <c r="AP127" s="577"/>
      <c r="AQ127" s="577"/>
      <c r="AR127" s="577"/>
      <c r="AS127" s="577"/>
      <c r="AT127" s="577"/>
      <c r="AU127" s="577"/>
      <c r="AV127" s="577"/>
      <c r="AW127" s="577"/>
      <c r="AX127" s="577"/>
      <c r="AY127" s="577"/>
      <c r="AZ127" s="577"/>
    </row>
    <row r="128" spans="1:52" ht="15.75" customHeight="1" x14ac:dyDescent="0.2">
      <c r="A128" s="577"/>
      <c r="B128" s="577"/>
      <c r="C128" s="577"/>
      <c r="D128" s="577"/>
      <c r="E128" s="577"/>
      <c r="F128" s="577"/>
      <c r="G128" s="577"/>
      <c r="H128" s="577"/>
      <c r="I128" s="577"/>
      <c r="J128" s="577"/>
      <c r="K128" s="577"/>
      <c r="L128" s="577"/>
      <c r="M128" s="577"/>
      <c r="N128" s="577"/>
      <c r="O128" s="577"/>
      <c r="P128" s="577"/>
      <c r="Q128" s="577"/>
      <c r="R128" s="577"/>
      <c r="S128" s="577"/>
      <c r="T128" s="577"/>
      <c r="U128" s="577"/>
      <c r="V128" s="577"/>
      <c r="W128" s="577"/>
      <c r="X128" s="577"/>
      <c r="Y128" s="577"/>
      <c r="Z128" s="577"/>
      <c r="AA128" s="577"/>
      <c r="AB128" s="577"/>
      <c r="AC128" s="577"/>
      <c r="AD128" s="577"/>
      <c r="AE128" s="577"/>
      <c r="AF128" s="577"/>
      <c r="AG128" s="577"/>
      <c r="AH128" s="577"/>
      <c r="AI128" s="577"/>
      <c r="AJ128" s="577"/>
      <c r="AK128" s="577"/>
      <c r="AL128" s="577"/>
      <c r="AM128" s="577"/>
      <c r="AN128" s="577"/>
      <c r="AO128" s="577"/>
      <c r="AP128" s="577"/>
      <c r="AQ128" s="577"/>
      <c r="AR128" s="577"/>
      <c r="AS128" s="577"/>
      <c r="AT128" s="577"/>
      <c r="AU128" s="577"/>
      <c r="AV128" s="577"/>
      <c r="AW128" s="577"/>
      <c r="AX128" s="577"/>
      <c r="AY128" s="577"/>
      <c r="AZ128" s="577"/>
    </row>
    <row r="129" spans="1:52" ht="15.75" customHeight="1" x14ac:dyDescent="0.2">
      <c r="A129" s="577"/>
      <c r="B129" s="577"/>
      <c r="C129" s="577"/>
      <c r="D129" s="577"/>
      <c r="E129" s="577"/>
      <c r="F129" s="577"/>
      <c r="G129" s="577"/>
      <c r="H129" s="577"/>
      <c r="I129" s="577"/>
      <c r="J129" s="577"/>
      <c r="K129" s="577"/>
      <c r="L129" s="577"/>
      <c r="M129" s="577"/>
      <c r="N129" s="577"/>
      <c r="O129" s="577"/>
      <c r="P129" s="577"/>
      <c r="Q129" s="577"/>
      <c r="R129" s="577"/>
      <c r="S129" s="577"/>
      <c r="T129" s="577"/>
      <c r="U129" s="577"/>
      <c r="V129" s="577"/>
      <c r="W129" s="577"/>
      <c r="X129" s="577"/>
      <c r="Y129" s="577"/>
      <c r="Z129" s="577"/>
      <c r="AA129" s="577"/>
      <c r="AB129" s="577"/>
      <c r="AC129" s="577"/>
      <c r="AD129" s="577"/>
      <c r="AE129" s="577"/>
      <c r="AF129" s="577"/>
      <c r="AG129" s="577"/>
      <c r="AH129" s="577"/>
      <c r="AI129" s="577"/>
      <c r="AJ129" s="577"/>
      <c r="AK129" s="577"/>
      <c r="AL129" s="577"/>
      <c r="AM129" s="577"/>
      <c r="AN129" s="577"/>
      <c r="AO129" s="577"/>
      <c r="AP129" s="577"/>
      <c r="AQ129" s="577"/>
      <c r="AR129" s="577"/>
      <c r="AS129" s="577"/>
      <c r="AT129" s="577"/>
      <c r="AU129" s="577"/>
      <c r="AV129" s="577"/>
      <c r="AW129" s="577"/>
      <c r="AX129" s="577"/>
      <c r="AY129" s="577"/>
      <c r="AZ129" s="577"/>
    </row>
    <row r="130" spans="1:52" ht="15.75" customHeight="1" x14ac:dyDescent="0.2">
      <c r="A130" s="577"/>
      <c r="B130" s="577"/>
      <c r="C130" s="577"/>
      <c r="D130" s="577"/>
      <c r="E130" s="577"/>
      <c r="F130" s="577"/>
      <c r="G130" s="577"/>
      <c r="H130" s="577"/>
      <c r="I130" s="577"/>
      <c r="J130" s="577"/>
      <c r="K130" s="577"/>
      <c r="L130" s="577"/>
      <c r="M130" s="577"/>
      <c r="N130" s="577"/>
      <c r="O130" s="577"/>
      <c r="P130" s="577"/>
      <c r="Q130" s="577"/>
      <c r="R130" s="577"/>
      <c r="S130" s="577"/>
      <c r="T130" s="577"/>
      <c r="U130" s="577"/>
      <c r="V130" s="577"/>
      <c r="W130" s="577"/>
      <c r="X130" s="577"/>
      <c r="Y130" s="577"/>
      <c r="Z130" s="577"/>
      <c r="AA130" s="577"/>
      <c r="AB130" s="577"/>
      <c r="AC130" s="577"/>
      <c r="AD130" s="577"/>
      <c r="AE130" s="577"/>
      <c r="AF130" s="577"/>
      <c r="AG130" s="577"/>
      <c r="AH130" s="577"/>
      <c r="AI130" s="577"/>
      <c r="AJ130" s="577"/>
      <c r="AK130" s="577"/>
      <c r="AL130" s="577"/>
      <c r="AM130" s="577"/>
      <c r="AN130" s="577"/>
      <c r="AO130" s="577"/>
      <c r="AP130" s="577"/>
      <c r="AQ130" s="577"/>
      <c r="AR130" s="577"/>
      <c r="AS130" s="577"/>
      <c r="AT130" s="577"/>
      <c r="AU130" s="577"/>
      <c r="AV130" s="577"/>
      <c r="AW130" s="577"/>
      <c r="AX130" s="577"/>
      <c r="AY130" s="577"/>
      <c r="AZ130" s="577"/>
    </row>
    <row r="131" spans="1:52" ht="15.75" customHeight="1" x14ac:dyDescent="0.2">
      <c r="A131" s="577"/>
      <c r="B131" s="577"/>
      <c r="C131" s="577"/>
      <c r="D131" s="577"/>
      <c r="E131" s="577"/>
      <c r="F131" s="577"/>
      <c r="G131" s="577"/>
      <c r="H131" s="577"/>
      <c r="I131" s="577"/>
      <c r="J131" s="577"/>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7"/>
      <c r="AK131" s="577"/>
      <c r="AL131" s="577"/>
      <c r="AM131" s="577"/>
      <c r="AN131" s="577"/>
      <c r="AO131" s="577"/>
      <c r="AP131" s="577"/>
      <c r="AQ131" s="577"/>
      <c r="AR131" s="577"/>
      <c r="AS131" s="577"/>
      <c r="AT131" s="577"/>
      <c r="AU131" s="577"/>
      <c r="AV131" s="577"/>
      <c r="AW131" s="577"/>
      <c r="AX131" s="577"/>
      <c r="AY131" s="577"/>
      <c r="AZ131" s="577"/>
    </row>
    <row r="132" spans="1:52" ht="15.75" customHeight="1" x14ac:dyDescent="0.2">
      <c r="A132" s="577"/>
      <c r="B132" s="577"/>
      <c r="C132" s="577"/>
      <c r="D132" s="577"/>
      <c r="E132" s="577"/>
      <c r="F132" s="577"/>
      <c r="G132" s="577"/>
      <c r="H132" s="577"/>
      <c r="I132" s="577"/>
      <c r="J132" s="577"/>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7"/>
      <c r="AK132" s="577"/>
      <c r="AL132" s="577"/>
      <c r="AM132" s="577"/>
      <c r="AN132" s="577"/>
      <c r="AO132" s="577"/>
      <c r="AP132" s="577"/>
      <c r="AQ132" s="577"/>
      <c r="AR132" s="577"/>
      <c r="AS132" s="577"/>
      <c r="AT132" s="577"/>
      <c r="AU132" s="577"/>
      <c r="AV132" s="577"/>
      <c r="AW132" s="577"/>
      <c r="AX132" s="577"/>
      <c r="AY132" s="577"/>
      <c r="AZ132" s="577"/>
    </row>
    <row r="133" spans="1:52" ht="15.75" customHeight="1" x14ac:dyDescent="0.2">
      <c r="A133" s="577"/>
      <c r="B133" s="577"/>
      <c r="C133" s="577"/>
      <c r="D133" s="577"/>
      <c r="E133" s="577"/>
      <c r="F133" s="577"/>
      <c r="G133" s="577"/>
      <c r="H133" s="577"/>
      <c r="I133" s="577"/>
      <c r="J133" s="577"/>
      <c r="K133" s="577"/>
      <c r="L133" s="577"/>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7"/>
      <c r="AK133" s="577"/>
      <c r="AL133" s="577"/>
      <c r="AM133" s="577"/>
      <c r="AN133" s="577"/>
      <c r="AO133" s="577"/>
      <c r="AP133" s="577"/>
      <c r="AQ133" s="577"/>
      <c r="AR133" s="577"/>
      <c r="AS133" s="577"/>
      <c r="AT133" s="577"/>
      <c r="AU133" s="577"/>
      <c r="AV133" s="577"/>
      <c r="AW133" s="577"/>
      <c r="AX133" s="577"/>
      <c r="AY133" s="577"/>
      <c r="AZ133" s="577"/>
    </row>
    <row r="134" spans="1:52" ht="15.75" customHeight="1" x14ac:dyDescent="0.2">
      <c r="A134" s="577"/>
      <c r="B134" s="577"/>
      <c r="C134" s="577"/>
      <c r="D134" s="577"/>
      <c r="E134" s="577"/>
      <c r="F134" s="577"/>
      <c r="G134" s="577"/>
      <c r="H134" s="577"/>
      <c r="I134" s="577"/>
      <c r="J134" s="577"/>
      <c r="K134" s="577"/>
      <c r="L134" s="577"/>
      <c r="M134" s="577"/>
      <c r="N134" s="577"/>
      <c r="O134" s="577"/>
      <c r="P134" s="577"/>
      <c r="Q134" s="577"/>
      <c r="R134" s="577"/>
      <c r="S134" s="577"/>
      <c r="T134" s="577"/>
      <c r="U134" s="577"/>
      <c r="V134" s="577"/>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c r="AY134" s="577"/>
      <c r="AZ134" s="577"/>
    </row>
    <row r="135" spans="1:52" ht="15.75" customHeight="1" x14ac:dyDescent="0.2">
      <c r="A135" s="577"/>
      <c r="B135" s="577"/>
      <c r="C135" s="577"/>
      <c r="D135" s="577"/>
      <c r="E135" s="577"/>
      <c r="F135" s="577"/>
      <c r="G135" s="577"/>
      <c r="H135" s="577"/>
      <c r="I135" s="577"/>
      <c r="J135" s="577"/>
      <c r="K135" s="577"/>
      <c r="L135" s="577"/>
      <c r="M135" s="577"/>
      <c r="N135" s="577"/>
      <c r="O135" s="577"/>
      <c r="P135" s="577"/>
      <c r="Q135" s="577"/>
      <c r="R135" s="577"/>
      <c r="S135" s="577"/>
      <c r="T135" s="577"/>
      <c r="U135" s="577"/>
      <c r="V135" s="577"/>
      <c r="W135" s="577"/>
      <c r="X135" s="577"/>
      <c r="Y135" s="577"/>
      <c r="Z135" s="577"/>
      <c r="AA135" s="577"/>
      <c r="AB135" s="577"/>
      <c r="AC135" s="577"/>
      <c r="AD135" s="577"/>
      <c r="AE135" s="577"/>
      <c r="AF135" s="577"/>
      <c r="AG135" s="577"/>
      <c r="AH135" s="577"/>
      <c r="AI135" s="577"/>
      <c r="AJ135" s="577"/>
      <c r="AK135" s="577"/>
      <c r="AL135" s="577"/>
      <c r="AM135" s="577"/>
      <c r="AN135" s="577"/>
      <c r="AO135" s="577"/>
      <c r="AP135" s="577"/>
      <c r="AQ135" s="577"/>
      <c r="AR135" s="577"/>
      <c r="AS135" s="577"/>
      <c r="AT135" s="577"/>
      <c r="AU135" s="577"/>
      <c r="AV135" s="577"/>
      <c r="AW135" s="577"/>
      <c r="AX135" s="577"/>
      <c r="AY135" s="577"/>
      <c r="AZ135" s="577"/>
    </row>
    <row r="136" spans="1:52" ht="15.75" customHeight="1" x14ac:dyDescent="0.2">
      <c r="A136" s="577"/>
      <c r="B136" s="577"/>
      <c r="C136" s="577"/>
      <c r="D136" s="577"/>
      <c r="E136" s="577"/>
      <c r="F136" s="577"/>
      <c r="G136" s="577"/>
      <c r="H136" s="577"/>
      <c r="I136" s="577"/>
      <c r="J136" s="577"/>
      <c r="K136" s="577"/>
      <c r="L136" s="577"/>
      <c r="M136" s="577"/>
      <c r="N136" s="577"/>
      <c r="O136" s="577"/>
      <c r="P136" s="577"/>
      <c r="Q136" s="577"/>
      <c r="R136" s="577"/>
      <c r="S136" s="577"/>
      <c r="T136" s="577"/>
      <c r="U136" s="577"/>
      <c r="V136" s="577"/>
      <c r="W136" s="577"/>
      <c r="X136" s="577"/>
      <c r="Y136" s="577"/>
      <c r="Z136" s="577"/>
      <c r="AA136" s="577"/>
      <c r="AB136" s="577"/>
      <c r="AC136" s="577"/>
      <c r="AD136" s="577"/>
      <c r="AE136" s="577"/>
      <c r="AF136" s="577"/>
      <c r="AG136" s="577"/>
      <c r="AH136" s="577"/>
      <c r="AI136" s="577"/>
      <c r="AJ136" s="577"/>
      <c r="AK136" s="577"/>
      <c r="AL136" s="577"/>
      <c r="AM136" s="577"/>
      <c r="AN136" s="577"/>
      <c r="AO136" s="577"/>
      <c r="AP136" s="577"/>
      <c r="AQ136" s="577"/>
      <c r="AR136" s="577"/>
      <c r="AS136" s="577"/>
      <c r="AT136" s="577"/>
      <c r="AU136" s="577"/>
      <c r="AV136" s="577"/>
      <c r="AW136" s="577"/>
      <c r="AX136" s="577"/>
      <c r="AY136" s="577"/>
      <c r="AZ136" s="577"/>
    </row>
    <row r="137" spans="1:52" ht="15.75" customHeight="1" x14ac:dyDescent="0.2">
      <c r="A137" s="577"/>
      <c r="B137" s="577"/>
      <c r="C137" s="577"/>
      <c r="D137" s="577"/>
      <c r="E137" s="577"/>
      <c r="F137" s="577"/>
      <c r="G137" s="577"/>
      <c r="H137" s="577"/>
      <c r="I137" s="577"/>
      <c r="J137" s="577"/>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7"/>
      <c r="AK137" s="577"/>
      <c r="AL137" s="577"/>
      <c r="AM137" s="577"/>
      <c r="AN137" s="577"/>
      <c r="AO137" s="577"/>
      <c r="AP137" s="577"/>
      <c r="AQ137" s="577"/>
      <c r="AR137" s="577"/>
      <c r="AS137" s="577"/>
      <c r="AT137" s="577"/>
      <c r="AU137" s="577"/>
      <c r="AV137" s="577"/>
      <c r="AW137" s="577"/>
      <c r="AX137" s="577"/>
      <c r="AY137" s="577"/>
      <c r="AZ137" s="577"/>
    </row>
    <row r="138" spans="1:52" ht="15.75" customHeight="1" x14ac:dyDescent="0.2">
      <c r="A138" s="577"/>
      <c r="B138" s="577"/>
      <c r="C138" s="577"/>
      <c r="D138" s="577"/>
      <c r="E138" s="577"/>
      <c r="F138" s="577"/>
      <c r="G138" s="577"/>
      <c r="H138" s="577"/>
      <c r="I138" s="577"/>
      <c r="J138" s="577"/>
      <c r="K138" s="577"/>
      <c r="L138" s="577"/>
      <c r="M138" s="577"/>
      <c r="N138" s="577"/>
      <c r="O138" s="577"/>
      <c r="P138" s="577"/>
      <c r="Q138" s="577"/>
      <c r="R138" s="577"/>
      <c r="S138" s="577"/>
      <c r="T138" s="577"/>
      <c r="U138" s="577"/>
      <c r="V138" s="577"/>
      <c r="W138" s="577"/>
      <c r="X138" s="577"/>
      <c r="Y138" s="577"/>
      <c r="Z138" s="577"/>
      <c r="AA138" s="577"/>
      <c r="AB138" s="577"/>
      <c r="AC138" s="577"/>
      <c r="AD138" s="577"/>
      <c r="AE138" s="577"/>
      <c r="AF138" s="577"/>
      <c r="AG138" s="577"/>
      <c r="AH138" s="577"/>
      <c r="AI138" s="577"/>
      <c r="AJ138" s="577"/>
      <c r="AK138" s="577"/>
      <c r="AL138" s="577"/>
      <c r="AM138" s="577"/>
      <c r="AN138" s="577"/>
      <c r="AO138" s="577"/>
      <c r="AP138" s="577"/>
      <c r="AQ138" s="577"/>
      <c r="AR138" s="577"/>
      <c r="AS138" s="577"/>
      <c r="AT138" s="577"/>
      <c r="AU138" s="577"/>
      <c r="AV138" s="577"/>
      <c r="AW138" s="577"/>
      <c r="AX138" s="577"/>
      <c r="AY138" s="577"/>
      <c r="AZ138" s="577"/>
    </row>
    <row r="139" spans="1:52" ht="15.75" customHeight="1" x14ac:dyDescent="0.2">
      <c r="A139" s="577"/>
      <c r="B139" s="577"/>
      <c r="C139" s="577"/>
      <c r="D139" s="577"/>
      <c r="E139" s="577"/>
      <c r="F139" s="577"/>
      <c r="G139" s="577"/>
      <c r="H139" s="577"/>
      <c r="I139" s="577"/>
      <c r="J139" s="577"/>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7"/>
      <c r="AK139" s="577"/>
      <c r="AL139" s="577"/>
      <c r="AM139" s="577"/>
      <c r="AN139" s="577"/>
      <c r="AO139" s="577"/>
      <c r="AP139" s="577"/>
      <c r="AQ139" s="577"/>
      <c r="AR139" s="577"/>
      <c r="AS139" s="577"/>
      <c r="AT139" s="577"/>
      <c r="AU139" s="577"/>
      <c r="AV139" s="577"/>
      <c r="AW139" s="577"/>
      <c r="AX139" s="577"/>
      <c r="AY139" s="577"/>
      <c r="AZ139" s="577"/>
    </row>
    <row r="140" spans="1:52" ht="15.75" customHeight="1" x14ac:dyDescent="0.2">
      <c r="A140" s="577"/>
      <c r="B140" s="577"/>
      <c r="C140" s="577"/>
      <c r="D140" s="577"/>
      <c r="E140" s="577"/>
      <c r="F140" s="577"/>
      <c r="G140" s="577"/>
      <c r="H140" s="577"/>
      <c r="I140" s="577"/>
      <c r="J140" s="577"/>
      <c r="K140" s="577"/>
      <c r="L140" s="577"/>
      <c r="M140" s="577"/>
      <c r="N140" s="577"/>
      <c r="O140" s="577"/>
      <c r="P140" s="577"/>
      <c r="Q140" s="577"/>
      <c r="R140" s="577"/>
      <c r="S140" s="577"/>
      <c r="T140" s="577"/>
      <c r="U140" s="577"/>
      <c r="V140" s="577"/>
      <c r="W140" s="577"/>
      <c r="X140" s="577"/>
      <c r="Y140" s="577"/>
      <c r="Z140" s="577"/>
      <c r="AA140" s="577"/>
      <c r="AB140" s="577"/>
      <c r="AC140" s="577"/>
      <c r="AD140" s="577"/>
      <c r="AE140" s="577"/>
      <c r="AF140" s="577"/>
      <c r="AG140" s="577"/>
      <c r="AH140" s="577"/>
      <c r="AI140" s="577"/>
      <c r="AJ140" s="577"/>
      <c r="AK140" s="577"/>
      <c r="AL140" s="577"/>
      <c r="AM140" s="577"/>
      <c r="AN140" s="577"/>
      <c r="AO140" s="577"/>
      <c r="AP140" s="577"/>
      <c r="AQ140" s="577"/>
      <c r="AR140" s="577"/>
      <c r="AS140" s="577"/>
      <c r="AT140" s="577"/>
      <c r="AU140" s="577"/>
      <c r="AV140" s="577"/>
      <c r="AW140" s="577"/>
      <c r="AX140" s="577"/>
      <c r="AY140" s="577"/>
      <c r="AZ140" s="577"/>
    </row>
    <row r="141" spans="1:52" ht="15.75" customHeight="1" x14ac:dyDescent="0.2">
      <c r="A141" s="577"/>
      <c r="B141" s="577"/>
      <c r="C141" s="577"/>
      <c r="D141" s="577"/>
      <c r="E141" s="577"/>
      <c r="F141" s="577"/>
      <c r="G141" s="577"/>
      <c r="H141" s="577"/>
      <c r="I141" s="577"/>
      <c r="J141" s="577"/>
      <c r="K141" s="577"/>
      <c r="L141" s="577"/>
      <c r="M141" s="577"/>
      <c r="N141" s="577"/>
      <c r="O141" s="577"/>
      <c r="P141" s="577"/>
      <c r="Q141" s="577"/>
      <c r="R141" s="577"/>
      <c r="S141" s="577"/>
      <c r="T141" s="577"/>
      <c r="U141" s="577"/>
      <c r="V141" s="577"/>
      <c r="W141" s="577"/>
      <c r="X141" s="577"/>
      <c r="Y141" s="577"/>
      <c r="Z141" s="577"/>
      <c r="AA141" s="577"/>
      <c r="AB141" s="577"/>
      <c r="AC141" s="577"/>
      <c r="AD141" s="577"/>
      <c r="AE141" s="577"/>
      <c r="AF141" s="577"/>
      <c r="AG141" s="577"/>
      <c r="AH141" s="577"/>
      <c r="AI141" s="577"/>
      <c r="AJ141" s="577"/>
      <c r="AK141" s="577"/>
      <c r="AL141" s="577"/>
      <c r="AM141" s="577"/>
      <c r="AN141" s="577"/>
      <c r="AO141" s="577"/>
      <c r="AP141" s="577"/>
      <c r="AQ141" s="577"/>
      <c r="AR141" s="577"/>
      <c r="AS141" s="577"/>
      <c r="AT141" s="577"/>
      <c r="AU141" s="577"/>
      <c r="AV141" s="577"/>
      <c r="AW141" s="577"/>
      <c r="AX141" s="577"/>
      <c r="AY141" s="577"/>
      <c r="AZ141" s="577"/>
    </row>
    <row r="142" spans="1:52" ht="15.75" customHeight="1" x14ac:dyDescent="0.2">
      <c r="A142" s="577"/>
      <c r="B142" s="577"/>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E142" s="577"/>
      <c r="AF142" s="577"/>
      <c r="AG142" s="577"/>
      <c r="AH142" s="577"/>
      <c r="AI142" s="577"/>
      <c r="AJ142" s="577"/>
      <c r="AK142" s="577"/>
      <c r="AL142" s="577"/>
      <c r="AM142" s="577"/>
      <c r="AN142" s="577"/>
      <c r="AO142" s="577"/>
      <c r="AP142" s="577"/>
      <c r="AQ142" s="577"/>
      <c r="AR142" s="577"/>
      <c r="AS142" s="577"/>
      <c r="AT142" s="577"/>
      <c r="AU142" s="577"/>
      <c r="AV142" s="577"/>
      <c r="AW142" s="577"/>
      <c r="AX142" s="577"/>
      <c r="AY142" s="577"/>
      <c r="AZ142" s="577"/>
    </row>
    <row r="143" spans="1:52" ht="15.75" customHeight="1" x14ac:dyDescent="0.2">
      <c r="A143" s="577"/>
      <c r="B143" s="577"/>
      <c r="C143" s="577"/>
      <c r="D143" s="577"/>
      <c r="E143" s="577"/>
      <c r="F143" s="577"/>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c r="AJ143" s="577"/>
      <c r="AK143" s="577"/>
      <c r="AL143" s="577"/>
      <c r="AM143" s="577"/>
      <c r="AN143" s="577"/>
      <c r="AO143" s="577"/>
      <c r="AP143" s="577"/>
      <c r="AQ143" s="577"/>
      <c r="AR143" s="577"/>
      <c r="AS143" s="577"/>
      <c r="AT143" s="577"/>
      <c r="AU143" s="577"/>
      <c r="AV143" s="577"/>
      <c r="AW143" s="577"/>
      <c r="AX143" s="577"/>
      <c r="AY143" s="577"/>
      <c r="AZ143" s="577"/>
    </row>
    <row r="144" spans="1:52" ht="15.75" customHeight="1" x14ac:dyDescent="0.2">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c r="AJ144" s="577"/>
      <c r="AK144" s="577"/>
      <c r="AL144" s="577"/>
      <c r="AM144" s="577"/>
      <c r="AN144" s="577"/>
      <c r="AO144" s="577"/>
      <c r="AP144" s="577"/>
      <c r="AQ144" s="577"/>
      <c r="AR144" s="577"/>
      <c r="AS144" s="577"/>
      <c r="AT144" s="577"/>
      <c r="AU144" s="577"/>
      <c r="AV144" s="577"/>
      <c r="AW144" s="577"/>
      <c r="AX144" s="577"/>
      <c r="AY144" s="577"/>
      <c r="AZ144" s="577"/>
    </row>
    <row r="145" spans="1:52" ht="15.75" customHeight="1" x14ac:dyDescent="0.2">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c r="AJ145" s="577"/>
      <c r="AK145" s="577"/>
      <c r="AL145" s="577"/>
      <c r="AM145" s="577"/>
      <c r="AN145" s="577"/>
      <c r="AO145" s="577"/>
      <c r="AP145" s="577"/>
      <c r="AQ145" s="577"/>
      <c r="AR145" s="577"/>
      <c r="AS145" s="577"/>
      <c r="AT145" s="577"/>
      <c r="AU145" s="577"/>
      <c r="AV145" s="577"/>
      <c r="AW145" s="577"/>
      <c r="AX145" s="577"/>
      <c r="AY145" s="577"/>
      <c r="AZ145" s="577"/>
    </row>
    <row r="146" spans="1:52" ht="15.75" customHeight="1" x14ac:dyDescent="0.2">
      <c r="A146" s="577"/>
      <c r="B146" s="577"/>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7"/>
      <c r="AO146" s="577"/>
      <c r="AP146" s="577"/>
      <c r="AQ146" s="577"/>
      <c r="AR146" s="577"/>
      <c r="AS146" s="577"/>
      <c r="AT146" s="577"/>
      <c r="AU146" s="577"/>
      <c r="AV146" s="577"/>
      <c r="AW146" s="577"/>
      <c r="AX146" s="577"/>
      <c r="AY146" s="577"/>
      <c r="AZ146" s="577"/>
    </row>
    <row r="147" spans="1:52" ht="15.75" customHeight="1" x14ac:dyDescent="0.2">
      <c r="A147" s="577"/>
      <c r="B147" s="577"/>
      <c r="C147" s="577"/>
      <c r="D147" s="577"/>
      <c r="E147" s="577"/>
      <c r="F147" s="577"/>
      <c r="G147" s="577"/>
      <c r="H147" s="577"/>
      <c r="I147" s="577"/>
      <c r="J147" s="577"/>
      <c r="K147" s="577"/>
      <c r="L147" s="577"/>
      <c r="M147" s="577"/>
      <c r="N147" s="577"/>
      <c r="O147" s="577"/>
      <c r="P147" s="577"/>
      <c r="Q147" s="577"/>
      <c r="R147" s="577"/>
      <c r="S147" s="577"/>
      <c r="T147" s="577"/>
      <c r="U147" s="577"/>
      <c r="V147" s="577"/>
      <c r="W147" s="577"/>
      <c r="X147" s="577"/>
      <c r="Y147" s="577"/>
      <c r="Z147" s="577"/>
      <c r="AA147" s="577"/>
      <c r="AB147" s="577"/>
      <c r="AC147" s="577"/>
      <c r="AD147" s="577"/>
      <c r="AE147" s="577"/>
      <c r="AF147" s="577"/>
      <c r="AG147" s="577"/>
      <c r="AH147" s="577"/>
      <c r="AI147" s="577"/>
      <c r="AJ147" s="577"/>
      <c r="AK147" s="577"/>
      <c r="AL147" s="577"/>
      <c r="AM147" s="577"/>
      <c r="AN147" s="577"/>
      <c r="AO147" s="577"/>
      <c r="AP147" s="577"/>
      <c r="AQ147" s="577"/>
      <c r="AR147" s="577"/>
      <c r="AS147" s="577"/>
      <c r="AT147" s="577"/>
      <c r="AU147" s="577"/>
      <c r="AV147" s="577"/>
      <c r="AW147" s="577"/>
      <c r="AX147" s="577"/>
      <c r="AY147" s="577"/>
      <c r="AZ147" s="577"/>
    </row>
    <row r="148" spans="1:52" ht="15.75" customHeight="1" x14ac:dyDescent="0.2">
      <c r="A148" s="577"/>
      <c r="B148" s="577"/>
      <c r="C148" s="577"/>
      <c r="D148" s="577"/>
      <c r="E148" s="577"/>
      <c r="F148" s="577"/>
      <c r="G148" s="577"/>
      <c r="H148" s="577"/>
      <c r="I148" s="577"/>
      <c r="J148" s="577"/>
      <c r="K148" s="577"/>
      <c r="L148" s="577"/>
      <c r="M148" s="577"/>
      <c r="N148" s="577"/>
      <c r="O148" s="577"/>
      <c r="P148" s="577"/>
      <c r="Q148" s="577"/>
      <c r="R148" s="577"/>
      <c r="S148" s="577"/>
      <c r="T148" s="577"/>
      <c r="U148" s="577"/>
      <c r="V148" s="577"/>
      <c r="W148" s="577"/>
      <c r="X148" s="577"/>
      <c r="Y148" s="577"/>
      <c r="Z148" s="577"/>
      <c r="AA148" s="577"/>
      <c r="AB148" s="577"/>
      <c r="AC148" s="577"/>
      <c r="AD148" s="577"/>
      <c r="AE148" s="577"/>
      <c r="AF148" s="577"/>
      <c r="AG148" s="577"/>
      <c r="AH148" s="577"/>
      <c r="AI148" s="577"/>
      <c r="AJ148" s="577"/>
      <c r="AK148" s="577"/>
      <c r="AL148" s="577"/>
      <c r="AM148" s="577"/>
      <c r="AN148" s="577"/>
      <c r="AO148" s="577"/>
      <c r="AP148" s="577"/>
      <c r="AQ148" s="577"/>
      <c r="AR148" s="577"/>
      <c r="AS148" s="577"/>
      <c r="AT148" s="577"/>
      <c r="AU148" s="577"/>
      <c r="AV148" s="577"/>
      <c r="AW148" s="577"/>
      <c r="AX148" s="577"/>
      <c r="AY148" s="577"/>
      <c r="AZ148" s="577"/>
    </row>
    <row r="149" spans="1:52" ht="15.75" customHeight="1" x14ac:dyDescent="0.2">
      <c r="A149" s="577"/>
      <c r="B149" s="577"/>
      <c r="C149" s="577"/>
      <c r="D149" s="577"/>
      <c r="E149" s="577"/>
      <c r="F149" s="577"/>
      <c r="G149" s="577"/>
      <c r="H149" s="577"/>
      <c r="I149" s="577"/>
      <c r="J149" s="577"/>
      <c r="K149" s="577"/>
      <c r="L149" s="577"/>
      <c r="M149" s="577"/>
      <c r="N149" s="577"/>
      <c r="O149" s="577"/>
      <c r="P149" s="577"/>
      <c r="Q149" s="577"/>
      <c r="R149" s="577"/>
      <c r="S149" s="577"/>
      <c r="T149" s="577"/>
      <c r="U149" s="577"/>
      <c r="V149" s="577"/>
      <c r="W149" s="577"/>
      <c r="X149" s="577"/>
      <c r="Y149" s="577"/>
      <c r="Z149" s="577"/>
      <c r="AA149" s="577"/>
      <c r="AB149" s="577"/>
      <c r="AC149" s="577"/>
      <c r="AD149" s="577"/>
      <c r="AE149" s="577"/>
      <c r="AF149" s="577"/>
      <c r="AG149" s="577"/>
      <c r="AH149" s="577"/>
      <c r="AI149" s="577"/>
      <c r="AJ149" s="577"/>
      <c r="AK149" s="577"/>
      <c r="AL149" s="577"/>
      <c r="AM149" s="577"/>
      <c r="AN149" s="577"/>
      <c r="AO149" s="577"/>
      <c r="AP149" s="577"/>
      <c r="AQ149" s="577"/>
      <c r="AR149" s="577"/>
      <c r="AS149" s="577"/>
      <c r="AT149" s="577"/>
      <c r="AU149" s="577"/>
      <c r="AV149" s="577"/>
      <c r="AW149" s="577"/>
      <c r="AX149" s="577"/>
      <c r="AY149" s="577"/>
      <c r="AZ149" s="577"/>
    </row>
    <row r="150" spans="1:52" ht="15.75" customHeight="1" x14ac:dyDescent="0.2">
      <c r="A150" s="577"/>
      <c r="B150" s="577"/>
      <c r="C150" s="577"/>
      <c r="D150" s="577"/>
      <c r="E150" s="577"/>
      <c r="F150" s="577"/>
      <c r="G150" s="577"/>
      <c r="H150" s="577"/>
      <c r="I150" s="577"/>
      <c r="J150" s="577"/>
      <c r="K150" s="577"/>
      <c r="L150" s="577"/>
      <c r="M150" s="577"/>
      <c r="N150" s="577"/>
      <c r="O150" s="577"/>
      <c r="P150" s="577"/>
      <c r="Q150" s="577"/>
      <c r="R150" s="577"/>
      <c r="S150" s="577"/>
      <c r="T150" s="577"/>
      <c r="U150" s="577"/>
      <c r="V150" s="577"/>
      <c r="W150" s="577"/>
      <c r="X150" s="577"/>
      <c r="Y150" s="577"/>
      <c r="Z150" s="577"/>
      <c r="AA150" s="577"/>
      <c r="AB150" s="577"/>
      <c r="AC150" s="577"/>
      <c r="AD150" s="577"/>
      <c r="AE150" s="577"/>
      <c r="AF150" s="577"/>
      <c r="AG150" s="577"/>
      <c r="AH150" s="577"/>
      <c r="AI150" s="577"/>
      <c r="AJ150" s="577"/>
      <c r="AK150" s="577"/>
      <c r="AL150" s="577"/>
      <c r="AM150" s="577"/>
      <c r="AN150" s="577"/>
      <c r="AO150" s="577"/>
      <c r="AP150" s="577"/>
      <c r="AQ150" s="577"/>
      <c r="AR150" s="577"/>
      <c r="AS150" s="577"/>
      <c r="AT150" s="577"/>
      <c r="AU150" s="577"/>
      <c r="AV150" s="577"/>
      <c r="AW150" s="577"/>
      <c r="AX150" s="577"/>
      <c r="AY150" s="577"/>
      <c r="AZ150" s="577"/>
    </row>
    <row r="151" spans="1:52" ht="15.75" customHeight="1" x14ac:dyDescent="0.2">
      <c r="A151" s="577"/>
      <c r="B151" s="577"/>
      <c r="C151" s="577"/>
      <c r="D151" s="577"/>
      <c r="E151" s="577"/>
      <c r="F151" s="577"/>
      <c r="G151" s="577"/>
      <c r="H151" s="577"/>
      <c r="I151" s="577"/>
      <c r="J151" s="577"/>
      <c r="K151" s="577"/>
      <c r="L151" s="577"/>
      <c r="M151" s="577"/>
      <c r="N151" s="577"/>
      <c r="O151" s="577"/>
      <c r="P151" s="577"/>
      <c r="Q151" s="577"/>
      <c r="R151" s="577"/>
      <c r="S151" s="577"/>
      <c r="T151" s="577"/>
      <c r="U151" s="577"/>
      <c r="V151" s="577"/>
      <c r="W151" s="577"/>
      <c r="X151" s="577"/>
      <c r="Y151" s="577"/>
      <c r="Z151" s="577"/>
      <c r="AA151" s="577"/>
      <c r="AB151" s="577"/>
      <c r="AC151" s="577"/>
      <c r="AD151" s="577"/>
      <c r="AE151" s="577"/>
      <c r="AF151" s="577"/>
      <c r="AG151" s="577"/>
      <c r="AH151" s="577"/>
      <c r="AI151" s="577"/>
      <c r="AJ151" s="577"/>
      <c r="AK151" s="577"/>
      <c r="AL151" s="577"/>
      <c r="AM151" s="577"/>
      <c r="AN151" s="577"/>
      <c r="AO151" s="577"/>
      <c r="AP151" s="577"/>
      <c r="AQ151" s="577"/>
      <c r="AR151" s="577"/>
      <c r="AS151" s="577"/>
      <c r="AT151" s="577"/>
      <c r="AU151" s="577"/>
      <c r="AV151" s="577"/>
      <c r="AW151" s="577"/>
      <c r="AX151" s="577"/>
      <c r="AY151" s="577"/>
      <c r="AZ151" s="577"/>
    </row>
    <row r="152" spans="1:52" ht="15.75" customHeight="1" x14ac:dyDescent="0.2">
      <c r="A152" s="577"/>
      <c r="B152" s="577"/>
      <c r="C152" s="577"/>
      <c r="D152" s="577"/>
      <c r="E152" s="577"/>
      <c r="F152" s="577"/>
      <c r="G152" s="577"/>
      <c r="H152" s="577"/>
      <c r="I152" s="577"/>
      <c r="J152" s="577"/>
      <c r="K152" s="577"/>
      <c r="L152" s="577"/>
      <c r="M152" s="577"/>
      <c r="N152" s="577"/>
      <c r="O152" s="577"/>
      <c r="P152" s="577"/>
      <c r="Q152" s="577"/>
      <c r="R152" s="577"/>
      <c r="S152" s="577"/>
      <c r="T152" s="577"/>
      <c r="U152" s="577"/>
      <c r="V152" s="577"/>
      <c r="W152" s="577"/>
      <c r="X152" s="577"/>
      <c r="Y152" s="577"/>
      <c r="Z152" s="577"/>
      <c r="AA152" s="577"/>
      <c r="AB152" s="577"/>
      <c r="AC152" s="577"/>
      <c r="AD152" s="577"/>
      <c r="AE152" s="577"/>
      <c r="AF152" s="577"/>
      <c r="AG152" s="577"/>
      <c r="AH152" s="577"/>
      <c r="AI152" s="577"/>
      <c r="AJ152" s="577"/>
      <c r="AK152" s="577"/>
      <c r="AL152" s="577"/>
      <c r="AM152" s="577"/>
      <c r="AN152" s="577"/>
      <c r="AO152" s="577"/>
      <c r="AP152" s="577"/>
      <c r="AQ152" s="577"/>
      <c r="AR152" s="577"/>
      <c r="AS152" s="577"/>
      <c r="AT152" s="577"/>
      <c r="AU152" s="577"/>
      <c r="AV152" s="577"/>
      <c r="AW152" s="577"/>
      <c r="AX152" s="577"/>
      <c r="AY152" s="577"/>
      <c r="AZ152" s="577"/>
    </row>
    <row r="153" spans="1:52" ht="15.75" customHeight="1" x14ac:dyDescent="0.2">
      <c r="A153" s="577"/>
      <c r="B153" s="577"/>
      <c r="C153" s="577"/>
      <c r="D153" s="577"/>
      <c r="E153" s="577"/>
      <c r="F153" s="577"/>
      <c r="G153" s="577"/>
      <c r="H153" s="577"/>
      <c r="I153" s="577"/>
      <c r="J153" s="577"/>
      <c r="K153" s="577"/>
      <c r="L153" s="577"/>
      <c r="M153" s="577"/>
      <c r="N153" s="577"/>
      <c r="O153" s="577"/>
      <c r="P153" s="577"/>
      <c r="Q153" s="577"/>
      <c r="R153" s="577"/>
      <c r="S153" s="577"/>
      <c r="T153" s="577"/>
      <c r="U153" s="577"/>
      <c r="V153" s="577"/>
      <c r="W153" s="577"/>
      <c r="X153" s="577"/>
      <c r="Y153" s="577"/>
      <c r="Z153" s="577"/>
      <c r="AA153" s="577"/>
      <c r="AB153" s="577"/>
      <c r="AC153" s="577"/>
      <c r="AD153" s="577"/>
      <c r="AE153" s="577"/>
      <c r="AF153" s="577"/>
      <c r="AG153" s="577"/>
      <c r="AH153" s="577"/>
      <c r="AI153" s="577"/>
      <c r="AJ153" s="577"/>
      <c r="AK153" s="577"/>
      <c r="AL153" s="577"/>
      <c r="AM153" s="577"/>
      <c r="AN153" s="577"/>
      <c r="AO153" s="577"/>
      <c r="AP153" s="577"/>
      <c r="AQ153" s="577"/>
      <c r="AR153" s="577"/>
      <c r="AS153" s="577"/>
      <c r="AT153" s="577"/>
      <c r="AU153" s="577"/>
      <c r="AV153" s="577"/>
      <c r="AW153" s="577"/>
      <c r="AX153" s="577"/>
      <c r="AY153" s="577"/>
      <c r="AZ153" s="577"/>
    </row>
    <row r="154" spans="1:52" ht="15.75" customHeight="1" x14ac:dyDescent="0.2">
      <c r="A154" s="577"/>
      <c r="B154" s="577"/>
      <c r="C154" s="577"/>
      <c r="D154" s="577"/>
      <c r="E154" s="577"/>
      <c r="F154" s="577"/>
      <c r="G154" s="577"/>
      <c r="H154" s="577"/>
      <c r="I154" s="577"/>
      <c r="J154" s="577"/>
      <c r="K154" s="577"/>
      <c r="L154" s="577"/>
      <c r="M154" s="577"/>
      <c r="N154" s="577"/>
      <c r="O154" s="577"/>
      <c r="P154" s="577"/>
      <c r="Q154" s="577"/>
      <c r="R154" s="577"/>
      <c r="S154" s="577"/>
      <c r="T154" s="577"/>
      <c r="U154" s="577"/>
      <c r="V154" s="577"/>
      <c r="W154" s="577"/>
      <c r="X154" s="577"/>
      <c r="Y154" s="577"/>
      <c r="Z154" s="577"/>
      <c r="AA154" s="577"/>
      <c r="AB154" s="577"/>
      <c r="AC154" s="577"/>
      <c r="AD154" s="577"/>
      <c r="AE154" s="577"/>
      <c r="AF154" s="577"/>
      <c r="AG154" s="577"/>
      <c r="AH154" s="577"/>
      <c r="AI154" s="577"/>
      <c r="AJ154" s="577"/>
      <c r="AK154" s="577"/>
      <c r="AL154" s="577"/>
      <c r="AM154" s="577"/>
      <c r="AN154" s="577"/>
      <c r="AO154" s="577"/>
      <c r="AP154" s="577"/>
      <c r="AQ154" s="577"/>
      <c r="AR154" s="577"/>
      <c r="AS154" s="577"/>
      <c r="AT154" s="577"/>
      <c r="AU154" s="577"/>
      <c r="AV154" s="577"/>
      <c r="AW154" s="577"/>
      <c r="AX154" s="577"/>
      <c r="AY154" s="577"/>
      <c r="AZ154" s="577"/>
    </row>
    <row r="155" spans="1:52" ht="15.75" customHeight="1" x14ac:dyDescent="0.2">
      <c r="A155" s="577"/>
      <c r="B155" s="577"/>
      <c r="C155" s="577"/>
      <c r="D155" s="577"/>
      <c r="E155" s="577"/>
      <c r="F155" s="577"/>
      <c r="G155" s="577"/>
      <c r="H155" s="577"/>
      <c r="I155" s="577"/>
      <c r="J155" s="577"/>
      <c r="K155" s="577"/>
      <c r="L155" s="577"/>
      <c r="M155" s="577"/>
      <c r="N155" s="577"/>
      <c r="O155" s="577"/>
      <c r="P155" s="577"/>
      <c r="Q155" s="577"/>
      <c r="R155" s="577"/>
      <c r="S155" s="577"/>
      <c r="T155" s="577"/>
      <c r="U155" s="577"/>
      <c r="V155" s="577"/>
      <c r="W155" s="577"/>
      <c r="X155" s="577"/>
      <c r="Y155" s="577"/>
      <c r="Z155" s="577"/>
      <c r="AA155" s="577"/>
      <c r="AB155" s="577"/>
      <c r="AC155" s="577"/>
      <c r="AD155" s="577"/>
      <c r="AE155" s="577"/>
      <c r="AF155" s="577"/>
      <c r="AG155" s="577"/>
      <c r="AH155" s="577"/>
      <c r="AI155" s="577"/>
      <c r="AJ155" s="577"/>
      <c r="AK155" s="577"/>
      <c r="AL155" s="577"/>
      <c r="AM155" s="577"/>
      <c r="AN155" s="577"/>
      <c r="AO155" s="577"/>
      <c r="AP155" s="577"/>
      <c r="AQ155" s="577"/>
      <c r="AR155" s="577"/>
      <c r="AS155" s="577"/>
      <c r="AT155" s="577"/>
      <c r="AU155" s="577"/>
      <c r="AV155" s="577"/>
      <c r="AW155" s="577"/>
      <c r="AX155" s="577"/>
      <c r="AY155" s="577"/>
      <c r="AZ155" s="577"/>
    </row>
    <row r="156" spans="1:52" ht="15.75" customHeight="1" x14ac:dyDescent="0.2">
      <c r="A156" s="577"/>
      <c r="B156" s="577"/>
      <c r="C156" s="577"/>
      <c r="D156" s="577"/>
      <c r="E156" s="577"/>
      <c r="F156" s="577"/>
      <c r="G156" s="577"/>
      <c r="H156" s="577"/>
      <c r="I156" s="577"/>
      <c r="J156" s="577"/>
      <c r="K156" s="577"/>
      <c r="L156" s="577"/>
      <c r="M156" s="577"/>
      <c r="N156" s="577"/>
      <c r="O156" s="577"/>
      <c r="P156" s="577"/>
      <c r="Q156" s="577"/>
      <c r="R156" s="577"/>
      <c r="S156" s="577"/>
      <c r="T156" s="577"/>
      <c r="U156" s="577"/>
      <c r="V156" s="577"/>
      <c r="W156" s="577"/>
      <c r="X156" s="577"/>
      <c r="Y156" s="577"/>
      <c r="Z156" s="577"/>
      <c r="AA156" s="577"/>
      <c r="AB156" s="577"/>
      <c r="AC156" s="577"/>
      <c r="AD156" s="577"/>
      <c r="AE156" s="577"/>
      <c r="AF156" s="577"/>
      <c r="AG156" s="577"/>
      <c r="AH156" s="577"/>
      <c r="AI156" s="577"/>
      <c r="AJ156" s="577"/>
      <c r="AK156" s="577"/>
      <c r="AL156" s="577"/>
      <c r="AM156" s="577"/>
      <c r="AN156" s="577"/>
      <c r="AO156" s="577"/>
      <c r="AP156" s="577"/>
      <c r="AQ156" s="577"/>
      <c r="AR156" s="577"/>
      <c r="AS156" s="577"/>
      <c r="AT156" s="577"/>
      <c r="AU156" s="577"/>
      <c r="AV156" s="577"/>
      <c r="AW156" s="577"/>
      <c r="AX156" s="577"/>
      <c r="AY156" s="577"/>
      <c r="AZ156" s="577"/>
    </row>
    <row r="157" spans="1:52" ht="15.75" customHeight="1" x14ac:dyDescent="0.2">
      <c r="A157" s="577"/>
      <c r="B157" s="577"/>
      <c r="C157" s="577"/>
      <c r="D157" s="577"/>
      <c r="E157" s="577"/>
      <c r="F157" s="577"/>
      <c r="G157" s="577"/>
      <c r="H157" s="577"/>
      <c r="I157" s="577"/>
      <c r="J157" s="577"/>
      <c r="K157" s="577"/>
      <c r="L157" s="577"/>
      <c r="M157" s="577"/>
      <c r="N157" s="577"/>
      <c r="O157" s="577"/>
      <c r="P157" s="577"/>
      <c r="Q157" s="577"/>
      <c r="R157" s="577"/>
      <c r="S157" s="577"/>
      <c r="T157" s="577"/>
      <c r="U157" s="577"/>
      <c r="V157" s="577"/>
      <c r="W157" s="577"/>
      <c r="X157" s="577"/>
      <c r="Y157" s="577"/>
      <c r="Z157" s="577"/>
      <c r="AA157" s="577"/>
      <c r="AB157" s="577"/>
      <c r="AC157" s="577"/>
      <c r="AD157" s="577"/>
      <c r="AE157" s="577"/>
      <c r="AF157" s="577"/>
      <c r="AG157" s="577"/>
      <c r="AH157" s="577"/>
      <c r="AI157" s="577"/>
      <c r="AJ157" s="577"/>
      <c r="AK157" s="577"/>
      <c r="AL157" s="577"/>
      <c r="AM157" s="577"/>
      <c r="AN157" s="577"/>
      <c r="AO157" s="577"/>
      <c r="AP157" s="577"/>
      <c r="AQ157" s="577"/>
      <c r="AR157" s="577"/>
      <c r="AS157" s="577"/>
      <c r="AT157" s="577"/>
      <c r="AU157" s="577"/>
      <c r="AV157" s="577"/>
      <c r="AW157" s="577"/>
      <c r="AX157" s="577"/>
      <c r="AY157" s="577"/>
      <c r="AZ157" s="577"/>
    </row>
    <row r="158" spans="1:52" ht="15.75" customHeight="1" x14ac:dyDescent="0.2">
      <c r="A158" s="577"/>
      <c r="B158" s="577"/>
      <c r="C158" s="577"/>
      <c r="D158" s="577"/>
      <c r="E158" s="577"/>
      <c r="F158" s="577"/>
      <c r="G158" s="577"/>
      <c r="H158" s="577"/>
      <c r="I158" s="577"/>
      <c r="J158" s="577"/>
      <c r="K158" s="577"/>
      <c r="L158" s="577"/>
      <c r="M158" s="577"/>
      <c r="N158" s="577"/>
      <c r="O158" s="577"/>
      <c r="P158" s="577"/>
      <c r="Q158" s="577"/>
      <c r="R158" s="577"/>
      <c r="S158" s="577"/>
      <c r="T158" s="577"/>
      <c r="U158" s="577"/>
      <c r="V158" s="577"/>
      <c r="W158" s="577"/>
      <c r="X158" s="577"/>
      <c r="Y158" s="577"/>
      <c r="Z158" s="577"/>
      <c r="AA158" s="577"/>
      <c r="AB158" s="577"/>
      <c r="AC158" s="577"/>
      <c r="AD158" s="577"/>
      <c r="AE158" s="577"/>
      <c r="AF158" s="577"/>
      <c r="AG158" s="577"/>
      <c r="AH158" s="577"/>
      <c r="AI158" s="577"/>
      <c r="AJ158" s="577"/>
      <c r="AK158" s="577"/>
      <c r="AL158" s="577"/>
      <c r="AM158" s="577"/>
      <c r="AN158" s="577"/>
      <c r="AO158" s="577"/>
      <c r="AP158" s="577"/>
      <c r="AQ158" s="577"/>
      <c r="AR158" s="577"/>
      <c r="AS158" s="577"/>
      <c r="AT158" s="577"/>
      <c r="AU158" s="577"/>
      <c r="AV158" s="577"/>
      <c r="AW158" s="577"/>
      <c r="AX158" s="577"/>
      <c r="AY158" s="577"/>
      <c r="AZ158" s="577"/>
    </row>
    <row r="159" spans="1:52" ht="15.75" customHeight="1" x14ac:dyDescent="0.2">
      <c r="A159" s="577"/>
      <c r="B159" s="577"/>
      <c r="C159" s="577"/>
      <c r="D159" s="577"/>
      <c r="E159" s="577"/>
      <c r="F159" s="577"/>
      <c r="G159" s="577"/>
      <c r="H159" s="577"/>
      <c r="I159" s="577"/>
      <c r="J159" s="577"/>
      <c r="K159" s="577"/>
      <c r="L159" s="577"/>
      <c r="M159" s="577"/>
      <c r="N159" s="577"/>
      <c r="O159" s="577"/>
      <c r="P159" s="577"/>
      <c r="Q159" s="577"/>
      <c r="R159" s="577"/>
      <c r="S159" s="577"/>
      <c r="T159" s="577"/>
      <c r="U159" s="577"/>
      <c r="V159" s="577"/>
      <c r="W159" s="577"/>
      <c r="X159" s="577"/>
      <c r="Y159" s="577"/>
      <c r="Z159" s="577"/>
      <c r="AA159" s="577"/>
      <c r="AB159" s="577"/>
      <c r="AC159" s="577"/>
      <c r="AD159" s="577"/>
      <c r="AE159" s="577"/>
      <c r="AF159" s="577"/>
      <c r="AG159" s="577"/>
      <c r="AH159" s="577"/>
      <c r="AI159" s="577"/>
      <c r="AJ159" s="577"/>
      <c r="AK159" s="577"/>
      <c r="AL159" s="577"/>
      <c r="AM159" s="577"/>
      <c r="AN159" s="577"/>
      <c r="AO159" s="577"/>
      <c r="AP159" s="577"/>
      <c r="AQ159" s="577"/>
      <c r="AR159" s="577"/>
      <c r="AS159" s="577"/>
      <c r="AT159" s="577"/>
      <c r="AU159" s="577"/>
      <c r="AV159" s="577"/>
      <c r="AW159" s="577"/>
      <c r="AX159" s="577"/>
      <c r="AY159" s="577"/>
      <c r="AZ159" s="577"/>
    </row>
    <row r="160" spans="1:52" ht="15.75" customHeight="1" x14ac:dyDescent="0.2">
      <c r="A160" s="577"/>
      <c r="B160" s="577"/>
      <c r="C160" s="577"/>
      <c r="D160" s="577"/>
      <c r="E160" s="577"/>
      <c r="F160" s="577"/>
      <c r="G160" s="577"/>
      <c r="H160" s="577"/>
      <c r="I160" s="577"/>
      <c r="J160" s="577"/>
      <c r="K160" s="577"/>
      <c r="L160" s="577"/>
      <c r="M160" s="577"/>
      <c r="N160" s="577"/>
      <c r="O160" s="577"/>
      <c r="P160" s="577"/>
      <c r="Q160" s="577"/>
      <c r="R160" s="577"/>
      <c r="S160" s="577"/>
      <c r="T160" s="577"/>
      <c r="U160" s="577"/>
      <c r="V160" s="577"/>
      <c r="W160" s="577"/>
      <c r="X160" s="577"/>
      <c r="Y160" s="577"/>
      <c r="Z160" s="577"/>
      <c r="AA160" s="577"/>
      <c r="AB160" s="577"/>
      <c r="AC160" s="577"/>
      <c r="AD160" s="577"/>
      <c r="AE160" s="577"/>
      <c r="AF160" s="577"/>
      <c r="AG160" s="577"/>
      <c r="AH160" s="577"/>
      <c r="AI160" s="577"/>
      <c r="AJ160" s="577"/>
      <c r="AK160" s="577"/>
      <c r="AL160" s="577"/>
      <c r="AM160" s="577"/>
      <c r="AN160" s="577"/>
      <c r="AO160" s="577"/>
      <c r="AP160" s="577"/>
      <c r="AQ160" s="577"/>
      <c r="AR160" s="577"/>
      <c r="AS160" s="577"/>
      <c r="AT160" s="577"/>
      <c r="AU160" s="577"/>
      <c r="AV160" s="577"/>
      <c r="AW160" s="577"/>
      <c r="AX160" s="577"/>
      <c r="AY160" s="577"/>
      <c r="AZ160" s="577"/>
    </row>
    <row r="161" spans="1:52" ht="15.75" customHeight="1" x14ac:dyDescent="0.2">
      <c r="A161" s="577"/>
      <c r="B161" s="577"/>
      <c r="C161" s="577"/>
      <c r="D161" s="577"/>
      <c r="E161" s="577"/>
      <c r="F161" s="577"/>
      <c r="G161" s="577"/>
      <c r="H161" s="577"/>
      <c r="I161" s="577"/>
      <c r="J161" s="577"/>
      <c r="K161" s="577"/>
      <c r="L161" s="577"/>
      <c r="M161" s="577"/>
      <c r="N161" s="577"/>
      <c r="O161" s="577"/>
      <c r="P161" s="577"/>
      <c r="Q161" s="577"/>
      <c r="R161" s="577"/>
      <c r="S161" s="577"/>
      <c r="T161" s="577"/>
      <c r="U161" s="577"/>
      <c r="V161" s="577"/>
      <c r="W161" s="577"/>
      <c r="X161" s="577"/>
      <c r="Y161" s="577"/>
      <c r="Z161" s="577"/>
      <c r="AA161" s="577"/>
      <c r="AB161" s="577"/>
      <c r="AC161" s="577"/>
      <c r="AD161" s="577"/>
      <c r="AE161" s="577"/>
      <c r="AF161" s="577"/>
      <c r="AG161" s="577"/>
      <c r="AH161" s="577"/>
      <c r="AI161" s="577"/>
      <c r="AJ161" s="577"/>
      <c r="AK161" s="577"/>
      <c r="AL161" s="577"/>
      <c r="AM161" s="577"/>
      <c r="AN161" s="577"/>
      <c r="AO161" s="577"/>
      <c r="AP161" s="577"/>
      <c r="AQ161" s="577"/>
      <c r="AR161" s="577"/>
      <c r="AS161" s="577"/>
      <c r="AT161" s="577"/>
      <c r="AU161" s="577"/>
      <c r="AV161" s="577"/>
      <c r="AW161" s="577"/>
      <c r="AX161" s="577"/>
      <c r="AY161" s="577"/>
      <c r="AZ161" s="577"/>
    </row>
    <row r="162" spans="1:52" ht="15.75" customHeight="1" x14ac:dyDescent="0.2">
      <c r="A162" s="577"/>
      <c r="B162" s="577"/>
      <c r="C162" s="577"/>
      <c r="D162" s="577"/>
      <c r="E162" s="577"/>
      <c r="F162" s="577"/>
      <c r="G162" s="577"/>
      <c r="H162" s="577"/>
      <c r="I162" s="577"/>
      <c r="J162" s="577"/>
      <c r="K162" s="577"/>
      <c r="L162" s="577"/>
      <c r="M162" s="577"/>
      <c r="N162" s="577"/>
      <c r="O162" s="577"/>
      <c r="P162" s="577"/>
      <c r="Q162" s="577"/>
      <c r="R162" s="577"/>
      <c r="S162" s="577"/>
      <c r="T162" s="577"/>
      <c r="U162" s="577"/>
      <c r="V162" s="577"/>
      <c r="W162" s="577"/>
      <c r="X162" s="577"/>
      <c r="Y162" s="577"/>
      <c r="Z162" s="577"/>
      <c r="AA162" s="577"/>
      <c r="AB162" s="577"/>
      <c r="AC162" s="577"/>
      <c r="AD162" s="577"/>
      <c r="AE162" s="577"/>
      <c r="AF162" s="577"/>
      <c r="AG162" s="577"/>
      <c r="AH162" s="577"/>
      <c r="AI162" s="577"/>
      <c r="AJ162" s="577"/>
      <c r="AK162" s="577"/>
      <c r="AL162" s="577"/>
      <c r="AM162" s="577"/>
      <c r="AN162" s="577"/>
      <c r="AO162" s="577"/>
      <c r="AP162" s="577"/>
      <c r="AQ162" s="577"/>
      <c r="AR162" s="577"/>
      <c r="AS162" s="577"/>
      <c r="AT162" s="577"/>
      <c r="AU162" s="577"/>
      <c r="AV162" s="577"/>
      <c r="AW162" s="577"/>
      <c r="AX162" s="577"/>
      <c r="AY162" s="577"/>
      <c r="AZ162" s="577"/>
    </row>
    <row r="163" spans="1:52" ht="15.75" customHeight="1" x14ac:dyDescent="0.2">
      <c r="A163" s="577"/>
      <c r="B163" s="577"/>
      <c r="C163" s="577"/>
      <c r="D163" s="577"/>
      <c r="E163" s="577"/>
      <c r="F163" s="577"/>
      <c r="G163" s="577"/>
      <c r="H163" s="577"/>
      <c r="I163" s="577"/>
      <c r="J163" s="577"/>
      <c r="K163" s="577"/>
      <c r="L163" s="577"/>
      <c r="M163" s="577"/>
      <c r="N163" s="577"/>
      <c r="O163" s="577"/>
      <c r="P163" s="577"/>
      <c r="Q163" s="577"/>
      <c r="R163" s="577"/>
      <c r="S163" s="577"/>
      <c r="T163" s="577"/>
      <c r="U163" s="577"/>
      <c r="V163" s="577"/>
      <c r="W163" s="577"/>
      <c r="X163" s="577"/>
      <c r="Y163" s="577"/>
      <c r="Z163" s="577"/>
      <c r="AA163" s="577"/>
      <c r="AB163" s="577"/>
      <c r="AC163" s="577"/>
      <c r="AD163" s="577"/>
      <c r="AE163" s="577"/>
      <c r="AF163" s="577"/>
      <c r="AG163" s="577"/>
      <c r="AH163" s="577"/>
      <c r="AI163" s="577"/>
      <c r="AJ163" s="577"/>
      <c r="AK163" s="577"/>
      <c r="AL163" s="577"/>
      <c r="AM163" s="577"/>
      <c r="AN163" s="577"/>
      <c r="AO163" s="577"/>
      <c r="AP163" s="577"/>
      <c r="AQ163" s="577"/>
      <c r="AR163" s="577"/>
      <c r="AS163" s="577"/>
      <c r="AT163" s="577"/>
      <c r="AU163" s="577"/>
      <c r="AV163" s="577"/>
      <c r="AW163" s="577"/>
      <c r="AX163" s="577"/>
      <c r="AY163" s="577"/>
      <c r="AZ163" s="577"/>
    </row>
    <row r="164" spans="1:52" ht="15.75" customHeight="1" x14ac:dyDescent="0.2">
      <c r="A164" s="577"/>
      <c r="B164" s="577"/>
      <c r="C164" s="577"/>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577"/>
      <c r="AV164" s="577"/>
      <c r="AW164" s="577"/>
      <c r="AX164" s="577"/>
      <c r="AY164" s="577"/>
      <c r="AZ164" s="577"/>
    </row>
    <row r="165" spans="1:52" ht="15.75" customHeight="1" x14ac:dyDescent="0.2">
      <c r="A165" s="577"/>
      <c r="B165" s="577"/>
      <c r="C165" s="577"/>
      <c r="D165" s="577"/>
      <c r="E165" s="577"/>
      <c r="F165" s="577"/>
      <c r="G165" s="577"/>
      <c r="H165" s="577"/>
      <c r="I165" s="577"/>
      <c r="J165" s="577"/>
      <c r="K165" s="577"/>
      <c r="L165" s="577"/>
      <c r="M165" s="577"/>
      <c r="N165" s="577"/>
      <c r="O165" s="577"/>
      <c r="P165" s="577"/>
      <c r="Q165" s="577"/>
      <c r="R165" s="577"/>
      <c r="S165" s="577"/>
      <c r="T165" s="577"/>
      <c r="U165" s="577"/>
      <c r="V165" s="577"/>
      <c r="W165" s="577"/>
      <c r="X165" s="57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577"/>
      <c r="AV165" s="577"/>
      <c r="AW165" s="577"/>
      <c r="AX165" s="577"/>
      <c r="AY165" s="577"/>
      <c r="AZ165" s="577"/>
    </row>
    <row r="166" spans="1:52" ht="15.75" customHeight="1" x14ac:dyDescent="0.2">
      <c r="A166" s="577"/>
      <c r="B166" s="577"/>
      <c r="C166" s="577"/>
      <c r="D166" s="577"/>
      <c r="E166" s="577"/>
      <c r="F166" s="577"/>
      <c r="G166" s="577"/>
      <c r="H166" s="577"/>
      <c r="I166" s="577"/>
      <c r="J166" s="577"/>
      <c r="K166" s="577"/>
      <c r="L166" s="577"/>
      <c r="M166" s="577"/>
      <c r="N166" s="577"/>
      <c r="O166" s="577"/>
      <c r="P166" s="577"/>
      <c r="Q166" s="577"/>
      <c r="R166" s="577"/>
      <c r="S166" s="577"/>
      <c r="T166" s="577"/>
      <c r="U166" s="577"/>
      <c r="V166" s="577"/>
      <c r="W166" s="577"/>
      <c r="X166" s="577"/>
      <c r="Y166" s="577"/>
      <c r="Z166" s="577"/>
      <c r="AA166" s="577"/>
      <c r="AB166" s="577"/>
      <c r="AC166" s="577"/>
      <c r="AD166" s="577"/>
      <c r="AE166" s="577"/>
      <c r="AF166" s="577"/>
      <c r="AG166" s="577"/>
      <c r="AH166" s="577"/>
      <c r="AI166" s="577"/>
      <c r="AJ166" s="577"/>
      <c r="AK166" s="577"/>
      <c r="AL166" s="577"/>
      <c r="AM166" s="577"/>
      <c r="AN166" s="577"/>
      <c r="AO166" s="577"/>
      <c r="AP166" s="577"/>
      <c r="AQ166" s="577"/>
      <c r="AR166" s="577"/>
      <c r="AS166" s="577"/>
      <c r="AT166" s="577"/>
      <c r="AU166" s="577"/>
      <c r="AV166" s="577"/>
      <c r="AW166" s="577"/>
      <c r="AX166" s="577"/>
      <c r="AY166" s="577"/>
      <c r="AZ166" s="577"/>
    </row>
    <row r="167" spans="1:52" ht="15.75" customHeight="1" x14ac:dyDescent="0.2">
      <c r="A167" s="577"/>
      <c r="B167" s="577"/>
      <c r="C167" s="577"/>
      <c r="D167" s="577"/>
      <c r="E167" s="577"/>
      <c r="F167" s="577"/>
      <c r="G167" s="577"/>
      <c r="H167" s="577"/>
      <c r="I167" s="577"/>
      <c r="J167" s="577"/>
      <c r="K167" s="577"/>
      <c r="L167" s="577"/>
      <c r="M167" s="577"/>
      <c r="N167" s="577"/>
      <c r="O167" s="577"/>
      <c r="P167" s="577"/>
      <c r="Q167" s="577"/>
      <c r="R167" s="577"/>
      <c r="S167" s="577"/>
      <c r="T167" s="577"/>
      <c r="U167" s="577"/>
      <c r="V167" s="577"/>
      <c r="W167" s="577"/>
      <c r="X167" s="577"/>
      <c r="Y167" s="577"/>
      <c r="Z167" s="577"/>
      <c r="AA167" s="577"/>
      <c r="AB167" s="577"/>
      <c r="AC167" s="577"/>
      <c r="AD167" s="577"/>
      <c r="AE167" s="577"/>
      <c r="AF167" s="577"/>
      <c r="AG167" s="577"/>
      <c r="AH167" s="577"/>
      <c r="AI167" s="577"/>
      <c r="AJ167" s="577"/>
      <c r="AK167" s="577"/>
      <c r="AL167" s="577"/>
      <c r="AM167" s="577"/>
      <c r="AN167" s="577"/>
      <c r="AO167" s="577"/>
      <c r="AP167" s="577"/>
      <c r="AQ167" s="577"/>
      <c r="AR167" s="577"/>
      <c r="AS167" s="577"/>
      <c r="AT167" s="577"/>
      <c r="AU167" s="577"/>
      <c r="AV167" s="577"/>
      <c r="AW167" s="577"/>
      <c r="AX167" s="577"/>
      <c r="AY167" s="577"/>
      <c r="AZ167" s="577"/>
    </row>
    <row r="168" spans="1:52" ht="15.75" customHeight="1" x14ac:dyDescent="0.2">
      <c r="A168" s="577"/>
      <c r="B168" s="577"/>
      <c r="C168" s="577"/>
      <c r="D168" s="577"/>
      <c r="E168" s="577"/>
      <c r="F168" s="577"/>
      <c r="G168" s="577"/>
      <c r="H168" s="577"/>
      <c r="I168" s="577"/>
      <c r="J168" s="577"/>
      <c r="K168" s="577"/>
      <c r="L168" s="577"/>
      <c r="M168" s="577"/>
      <c r="N168" s="577"/>
      <c r="O168" s="577"/>
      <c r="P168" s="577"/>
      <c r="Q168" s="577"/>
      <c r="R168" s="577"/>
      <c r="S168" s="577"/>
      <c r="T168" s="577"/>
      <c r="U168" s="577"/>
      <c r="V168" s="577"/>
      <c r="W168" s="577"/>
      <c r="X168" s="577"/>
      <c r="Y168" s="577"/>
      <c r="Z168" s="577"/>
      <c r="AA168" s="577"/>
      <c r="AB168" s="577"/>
      <c r="AC168" s="577"/>
      <c r="AD168" s="577"/>
      <c r="AE168" s="577"/>
      <c r="AF168" s="577"/>
      <c r="AG168" s="577"/>
      <c r="AH168" s="577"/>
      <c r="AI168" s="577"/>
      <c r="AJ168" s="577"/>
      <c r="AK168" s="577"/>
      <c r="AL168" s="577"/>
      <c r="AM168" s="577"/>
      <c r="AN168" s="577"/>
      <c r="AO168" s="577"/>
      <c r="AP168" s="577"/>
      <c r="AQ168" s="577"/>
      <c r="AR168" s="577"/>
      <c r="AS168" s="577"/>
      <c r="AT168" s="577"/>
      <c r="AU168" s="577"/>
      <c r="AV168" s="577"/>
      <c r="AW168" s="577"/>
      <c r="AX168" s="577"/>
      <c r="AY168" s="577"/>
      <c r="AZ168" s="577"/>
    </row>
    <row r="169" spans="1:52" ht="15.75" customHeight="1" x14ac:dyDescent="0.2">
      <c r="A169" s="577"/>
      <c r="B169" s="577"/>
      <c r="C169" s="577"/>
      <c r="D169" s="577"/>
      <c r="E169" s="577"/>
      <c r="F169" s="577"/>
      <c r="G169" s="577"/>
      <c r="H169" s="577"/>
      <c r="I169" s="577"/>
      <c r="J169" s="577"/>
      <c r="K169" s="577"/>
      <c r="L169" s="577"/>
      <c r="M169" s="577"/>
      <c r="N169" s="577"/>
      <c r="O169" s="577"/>
      <c r="P169" s="577"/>
      <c r="Q169" s="577"/>
      <c r="R169" s="577"/>
      <c r="S169" s="577"/>
      <c r="T169" s="577"/>
      <c r="U169" s="577"/>
      <c r="V169" s="577"/>
      <c r="W169" s="577"/>
      <c r="X169" s="577"/>
      <c r="Y169" s="577"/>
      <c r="Z169" s="577"/>
      <c r="AA169" s="577"/>
      <c r="AB169" s="577"/>
      <c r="AC169" s="577"/>
      <c r="AD169" s="577"/>
      <c r="AE169" s="577"/>
      <c r="AF169" s="577"/>
      <c r="AG169" s="577"/>
      <c r="AH169" s="577"/>
      <c r="AI169" s="577"/>
      <c r="AJ169" s="577"/>
      <c r="AK169" s="577"/>
      <c r="AL169" s="577"/>
      <c r="AM169" s="577"/>
      <c r="AN169" s="577"/>
      <c r="AO169" s="577"/>
      <c r="AP169" s="577"/>
      <c r="AQ169" s="577"/>
      <c r="AR169" s="577"/>
      <c r="AS169" s="577"/>
      <c r="AT169" s="577"/>
      <c r="AU169" s="577"/>
      <c r="AV169" s="577"/>
      <c r="AW169" s="577"/>
      <c r="AX169" s="577"/>
      <c r="AY169" s="577"/>
      <c r="AZ169" s="577"/>
    </row>
    <row r="170" spans="1:52" ht="15.75" customHeight="1" x14ac:dyDescent="0.2">
      <c r="A170" s="577"/>
      <c r="B170" s="577"/>
      <c r="C170" s="577"/>
      <c r="D170" s="577"/>
      <c r="E170" s="577"/>
      <c r="F170" s="577"/>
      <c r="G170" s="577"/>
      <c r="H170" s="577"/>
      <c r="I170" s="577"/>
      <c r="J170" s="577"/>
      <c r="K170" s="577"/>
      <c r="L170" s="577"/>
      <c r="M170" s="577"/>
      <c r="N170" s="577"/>
      <c r="O170" s="577"/>
      <c r="P170" s="577"/>
      <c r="Q170" s="577"/>
      <c r="R170" s="577"/>
      <c r="S170" s="577"/>
      <c r="T170" s="577"/>
      <c r="U170" s="577"/>
      <c r="V170" s="577"/>
      <c r="W170" s="577"/>
      <c r="X170" s="577"/>
      <c r="Y170" s="577"/>
      <c r="Z170" s="577"/>
      <c r="AA170" s="577"/>
      <c r="AB170" s="577"/>
      <c r="AC170" s="577"/>
      <c r="AD170" s="577"/>
      <c r="AE170" s="577"/>
      <c r="AF170" s="577"/>
      <c r="AG170" s="577"/>
      <c r="AH170" s="577"/>
      <c r="AI170" s="577"/>
      <c r="AJ170" s="577"/>
      <c r="AK170" s="577"/>
      <c r="AL170" s="577"/>
      <c r="AM170" s="577"/>
      <c r="AN170" s="577"/>
      <c r="AO170" s="577"/>
      <c r="AP170" s="577"/>
      <c r="AQ170" s="577"/>
      <c r="AR170" s="577"/>
      <c r="AS170" s="577"/>
      <c r="AT170" s="577"/>
      <c r="AU170" s="577"/>
      <c r="AV170" s="577"/>
      <c r="AW170" s="577"/>
      <c r="AX170" s="577"/>
      <c r="AY170" s="577"/>
      <c r="AZ170" s="577"/>
    </row>
    <row r="171" spans="1:52" ht="15.75" customHeight="1" x14ac:dyDescent="0.2">
      <c r="A171" s="577"/>
      <c r="B171" s="577"/>
      <c r="C171" s="577"/>
      <c r="D171" s="577"/>
      <c r="E171" s="577"/>
      <c r="F171" s="577"/>
      <c r="G171" s="577"/>
      <c r="H171" s="577"/>
      <c r="I171" s="577"/>
      <c r="J171" s="577"/>
      <c r="K171" s="577"/>
      <c r="L171" s="577"/>
      <c r="M171" s="577"/>
      <c r="N171" s="577"/>
      <c r="O171" s="577"/>
      <c r="P171" s="577"/>
      <c r="Q171" s="577"/>
      <c r="R171" s="577"/>
      <c r="S171" s="577"/>
      <c r="T171" s="577"/>
      <c r="U171" s="577"/>
      <c r="V171" s="577"/>
      <c r="W171" s="577"/>
      <c r="X171" s="577"/>
      <c r="Y171" s="577"/>
      <c r="Z171" s="577"/>
      <c r="AA171" s="577"/>
      <c r="AB171" s="577"/>
      <c r="AC171" s="577"/>
      <c r="AD171" s="577"/>
      <c r="AE171" s="577"/>
      <c r="AF171" s="577"/>
      <c r="AG171" s="577"/>
      <c r="AH171" s="577"/>
      <c r="AI171" s="577"/>
      <c r="AJ171" s="577"/>
      <c r="AK171" s="577"/>
      <c r="AL171" s="577"/>
      <c r="AM171" s="577"/>
      <c r="AN171" s="577"/>
      <c r="AO171" s="577"/>
      <c r="AP171" s="577"/>
      <c r="AQ171" s="577"/>
      <c r="AR171" s="577"/>
      <c r="AS171" s="577"/>
      <c r="AT171" s="577"/>
      <c r="AU171" s="577"/>
      <c r="AV171" s="577"/>
      <c r="AW171" s="577"/>
      <c r="AX171" s="577"/>
      <c r="AY171" s="577"/>
      <c r="AZ171" s="577"/>
    </row>
    <row r="172" spans="1:52" ht="15.75" customHeight="1" x14ac:dyDescent="0.2">
      <c r="A172" s="577"/>
      <c r="B172" s="577"/>
      <c r="C172" s="577"/>
      <c r="D172" s="577"/>
      <c r="E172" s="577"/>
      <c r="F172" s="577"/>
      <c r="G172" s="577"/>
      <c r="H172" s="577"/>
      <c r="I172" s="577"/>
      <c r="J172" s="577"/>
      <c r="K172" s="577"/>
      <c r="L172" s="577"/>
      <c r="M172" s="577"/>
      <c r="N172" s="577"/>
      <c r="O172" s="577"/>
      <c r="P172" s="577"/>
      <c r="Q172" s="577"/>
      <c r="R172" s="577"/>
      <c r="S172" s="577"/>
      <c r="T172" s="577"/>
      <c r="U172" s="577"/>
      <c r="V172" s="577"/>
      <c r="W172" s="577"/>
      <c r="X172" s="577"/>
      <c r="Y172" s="577"/>
      <c r="Z172" s="577"/>
      <c r="AA172" s="577"/>
      <c r="AB172" s="577"/>
      <c r="AC172" s="577"/>
      <c r="AD172" s="577"/>
      <c r="AE172" s="577"/>
      <c r="AF172" s="577"/>
      <c r="AG172" s="577"/>
      <c r="AH172" s="577"/>
      <c r="AI172" s="577"/>
      <c r="AJ172" s="577"/>
      <c r="AK172" s="577"/>
      <c r="AL172" s="577"/>
      <c r="AM172" s="577"/>
      <c r="AN172" s="577"/>
      <c r="AO172" s="577"/>
      <c r="AP172" s="577"/>
      <c r="AQ172" s="577"/>
      <c r="AR172" s="577"/>
      <c r="AS172" s="577"/>
      <c r="AT172" s="577"/>
      <c r="AU172" s="577"/>
      <c r="AV172" s="577"/>
      <c r="AW172" s="577"/>
      <c r="AX172" s="577"/>
      <c r="AY172" s="577"/>
      <c r="AZ172" s="577"/>
    </row>
    <row r="173" spans="1:52" ht="15.75" customHeight="1" x14ac:dyDescent="0.2">
      <c r="A173" s="577"/>
      <c r="B173" s="577"/>
      <c r="C173" s="577"/>
      <c r="D173" s="577"/>
      <c r="E173" s="577"/>
      <c r="F173" s="577"/>
      <c r="G173" s="577"/>
      <c r="H173" s="577"/>
      <c r="I173" s="577"/>
      <c r="J173" s="577"/>
      <c r="K173" s="577"/>
      <c r="L173" s="577"/>
      <c r="M173" s="577"/>
      <c r="N173" s="577"/>
      <c r="O173" s="577"/>
      <c r="P173" s="577"/>
      <c r="Q173" s="577"/>
      <c r="R173" s="577"/>
      <c r="S173" s="577"/>
      <c r="T173" s="577"/>
      <c r="U173" s="577"/>
      <c r="V173" s="577"/>
      <c r="W173" s="577"/>
      <c r="X173" s="577"/>
      <c r="Y173" s="577"/>
      <c r="Z173" s="577"/>
      <c r="AA173" s="577"/>
      <c r="AB173" s="577"/>
      <c r="AC173" s="577"/>
      <c r="AD173" s="577"/>
      <c r="AE173" s="577"/>
      <c r="AF173" s="577"/>
      <c r="AG173" s="577"/>
      <c r="AH173" s="577"/>
      <c r="AI173" s="577"/>
      <c r="AJ173" s="577"/>
      <c r="AK173" s="577"/>
      <c r="AL173" s="577"/>
      <c r="AM173" s="577"/>
      <c r="AN173" s="577"/>
      <c r="AO173" s="577"/>
      <c r="AP173" s="577"/>
      <c r="AQ173" s="577"/>
      <c r="AR173" s="577"/>
      <c r="AS173" s="577"/>
      <c r="AT173" s="577"/>
      <c r="AU173" s="577"/>
      <c r="AV173" s="577"/>
      <c r="AW173" s="577"/>
      <c r="AX173" s="577"/>
      <c r="AY173" s="577"/>
      <c r="AZ173" s="577"/>
    </row>
    <row r="174" spans="1:52" ht="15.75" customHeight="1" x14ac:dyDescent="0.2">
      <c r="A174" s="577"/>
      <c r="B174" s="577"/>
      <c r="C174" s="577"/>
      <c r="D174" s="577"/>
      <c r="E174" s="577"/>
      <c r="F174" s="577"/>
      <c r="G174" s="577"/>
      <c r="H174" s="577"/>
      <c r="I174" s="577"/>
      <c r="J174" s="577"/>
      <c r="K174" s="577"/>
      <c r="L174" s="577"/>
      <c r="M174" s="577"/>
      <c r="N174" s="577"/>
      <c r="O174" s="577"/>
      <c r="P174" s="577"/>
      <c r="Q174" s="577"/>
      <c r="R174" s="577"/>
      <c r="S174" s="577"/>
      <c r="T174" s="577"/>
      <c r="U174" s="577"/>
      <c r="V174" s="577"/>
      <c r="W174" s="577"/>
      <c r="X174" s="577"/>
      <c r="Y174" s="577"/>
      <c r="Z174" s="577"/>
      <c r="AA174" s="577"/>
      <c r="AB174" s="577"/>
      <c r="AC174" s="577"/>
      <c r="AD174" s="577"/>
      <c r="AE174" s="577"/>
      <c r="AF174" s="577"/>
      <c r="AG174" s="577"/>
      <c r="AH174" s="577"/>
      <c r="AI174" s="577"/>
      <c r="AJ174" s="577"/>
      <c r="AK174" s="577"/>
      <c r="AL174" s="577"/>
      <c r="AM174" s="577"/>
      <c r="AN174" s="577"/>
      <c r="AO174" s="577"/>
      <c r="AP174" s="577"/>
      <c r="AQ174" s="577"/>
      <c r="AR174" s="577"/>
      <c r="AS174" s="577"/>
      <c r="AT174" s="577"/>
      <c r="AU174" s="577"/>
      <c r="AV174" s="577"/>
      <c r="AW174" s="577"/>
      <c r="AX174" s="577"/>
      <c r="AY174" s="577"/>
      <c r="AZ174" s="577"/>
    </row>
    <row r="175" spans="1:52" ht="15.75" customHeight="1" x14ac:dyDescent="0.2">
      <c r="A175" s="577"/>
      <c r="B175" s="577"/>
      <c r="C175" s="577"/>
      <c r="D175" s="577"/>
      <c r="E175" s="577"/>
      <c r="F175" s="577"/>
      <c r="G175" s="577"/>
      <c r="H175" s="577"/>
      <c r="I175" s="577"/>
      <c r="J175" s="577"/>
      <c r="K175" s="577"/>
      <c r="L175" s="577"/>
      <c r="M175" s="577"/>
      <c r="N175" s="577"/>
      <c r="O175" s="577"/>
      <c r="P175" s="577"/>
      <c r="Q175" s="577"/>
      <c r="R175" s="577"/>
      <c r="S175" s="577"/>
      <c r="T175" s="577"/>
      <c r="U175" s="577"/>
      <c r="V175" s="577"/>
      <c r="W175" s="577"/>
      <c r="X175" s="577"/>
      <c r="Y175" s="577"/>
      <c r="Z175" s="577"/>
      <c r="AA175" s="577"/>
      <c r="AB175" s="577"/>
      <c r="AC175" s="577"/>
      <c r="AD175" s="577"/>
      <c r="AE175" s="577"/>
      <c r="AF175" s="577"/>
      <c r="AG175" s="577"/>
      <c r="AH175" s="577"/>
      <c r="AI175" s="577"/>
      <c r="AJ175" s="577"/>
      <c r="AK175" s="577"/>
      <c r="AL175" s="577"/>
      <c r="AM175" s="577"/>
      <c r="AN175" s="577"/>
      <c r="AO175" s="577"/>
      <c r="AP175" s="577"/>
      <c r="AQ175" s="577"/>
      <c r="AR175" s="577"/>
      <c r="AS175" s="577"/>
      <c r="AT175" s="577"/>
      <c r="AU175" s="577"/>
      <c r="AV175" s="577"/>
      <c r="AW175" s="577"/>
      <c r="AX175" s="577"/>
      <c r="AY175" s="577"/>
      <c r="AZ175" s="577"/>
    </row>
    <row r="176" spans="1:52" ht="15.75" customHeight="1" x14ac:dyDescent="0.2">
      <c r="A176" s="577"/>
      <c r="B176" s="577"/>
      <c r="C176" s="577"/>
      <c r="D176" s="577"/>
      <c r="E176" s="577"/>
      <c r="F176" s="577"/>
      <c r="G176" s="577"/>
      <c r="H176" s="577"/>
      <c r="I176" s="577"/>
      <c r="J176" s="577"/>
      <c r="K176" s="577"/>
      <c r="L176" s="577"/>
      <c r="M176" s="577"/>
      <c r="N176" s="577"/>
      <c r="O176" s="577"/>
      <c r="P176" s="577"/>
      <c r="Q176" s="577"/>
      <c r="R176" s="577"/>
      <c r="S176" s="577"/>
      <c r="T176" s="577"/>
      <c r="U176" s="577"/>
      <c r="V176" s="577"/>
      <c r="W176" s="577"/>
      <c r="X176" s="577"/>
      <c r="Y176" s="577"/>
      <c r="Z176" s="577"/>
      <c r="AA176" s="577"/>
      <c r="AB176" s="577"/>
      <c r="AC176" s="577"/>
      <c r="AD176" s="577"/>
      <c r="AE176" s="577"/>
      <c r="AF176" s="577"/>
      <c r="AG176" s="577"/>
      <c r="AH176" s="577"/>
      <c r="AI176" s="577"/>
      <c r="AJ176" s="577"/>
      <c r="AK176" s="577"/>
      <c r="AL176" s="577"/>
      <c r="AM176" s="577"/>
      <c r="AN176" s="577"/>
      <c r="AO176" s="577"/>
      <c r="AP176" s="577"/>
      <c r="AQ176" s="577"/>
      <c r="AR176" s="577"/>
      <c r="AS176" s="577"/>
      <c r="AT176" s="577"/>
      <c r="AU176" s="577"/>
      <c r="AV176" s="577"/>
      <c r="AW176" s="577"/>
      <c r="AX176" s="577"/>
      <c r="AY176" s="577"/>
      <c r="AZ176" s="577"/>
    </row>
    <row r="177" spans="1:52" ht="15.75" customHeight="1" x14ac:dyDescent="0.2">
      <c r="A177" s="577"/>
      <c r="B177" s="577"/>
      <c r="C177" s="577"/>
      <c r="D177" s="577"/>
      <c r="E177" s="577"/>
      <c r="F177" s="577"/>
      <c r="G177" s="577"/>
      <c r="H177" s="577"/>
      <c r="I177" s="577"/>
      <c r="J177" s="577"/>
      <c r="K177" s="577"/>
      <c r="L177" s="577"/>
      <c r="M177" s="577"/>
      <c r="N177" s="577"/>
      <c r="O177" s="577"/>
      <c r="P177" s="577"/>
      <c r="Q177" s="577"/>
      <c r="R177" s="577"/>
      <c r="S177" s="577"/>
      <c r="T177" s="577"/>
      <c r="U177" s="577"/>
      <c r="V177" s="577"/>
      <c r="W177" s="577"/>
      <c r="X177" s="577"/>
      <c r="Y177" s="577"/>
      <c r="Z177" s="577"/>
      <c r="AA177" s="577"/>
      <c r="AB177" s="577"/>
      <c r="AC177" s="577"/>
      <c r="AD177" s="577"/>
      <c r="AE177" s="577"/>
      <c r="AF177" s="577"/>
      <c r="AG177" s="577"/>
      <c r="AH177" s="577"/>
      <c r="AI177" s="577"/>
      <c r="AJ177" s="577"/>
      <c r="AK177" s="577"/>
      <c r="AL177" s="577"/>
      <c r="AM177" s="577"/>
      <c r="AN177" s="577"/>
      <c r="AO177" s="577"/>
      <c r="AP177" s="577"/>
      <c r="AQ177" s="577"/>
      <c r="AR177" s="577"/>
      <c r="AS177" s="577"/>
      <c r="AT177" s="577"/>
      <c r="AU177" s="577"/>
      <c r="AV177" s="577"/>
      <c r="AW177" s="577"/>
      <c r="AX177" s="577"/>
      <c r="AY177" s="577"/>
      <c r="AZ177" s="577"/>
    </row>
    <row r="178" spans="1:52" ht="15.75" customHeight="1" x14ac:dyDescent="0.2">
      <c r="A178" s="577"/>
      <c r="B178" s="577"/>
      <c r="C178" s="577"/>
      <c r="D178" s="577"/>
      <c r="E178" s="577"/>
      <c r="F178" s="577"/>
      <c r="G178" s="577"/>
      <c r="H178" s="577"/>
      <c r="I178" s="577"/>
      <c r="J178" s="577"/>
      <c r="K178" s="577"/>
      <c r="L178" s="577"/>
      <c r="M178" s="577"/>
      <c r="N178" s="577"/>
      <c r="O178" s="577"/>
      <c r="P178" s="577"/>
      <c r="Q178" s="577"/>
      <c r="R178" s="577"/>
      <c r="S178" s="577"/>
      <c r="T178" s="577"/>
      <c r="U178" s="577"/>
      <c r="V178" s="577"/>
      <c r="W178" s="577"/>
      <c r="X178" s="577"/>
      <c r="Y178" s="577"/>
      <c r="Z178" s="577"/>
      <c r="AA178" s="577"/>
      <c r="AB178" s="577"/>
      <c r="AC178" s="577"/>
      <c r="AD178" s="577"/>
      <c r="AE178" s="577"/>
      <c r="AF178" s="577"/>
      <c r="AG178" s="577"/>
      <c r="AH178" s="577"/>
      <c r="AI178" s="577"/>
      <c r="AJ178" s="577"/>
      <c r="AK178" s="577"/>
      <c r="AL178" s="577"/>
      <c r="AM178" s="577"/>
      <c r="AN178" s="577"/>
      <c r="AO178" s="577"/>
      <c r="AP178" s="577"/>
      <c r="AQ178" s="577"/>
      <c r="AR178" s="577"/>
      <c r="AS178" s="577"/>
      <c r="AT178" s="577"/>
      <c r="AU178" s="577"/>
      <c r="AV178" s="577"/>
      <c r="AW178" s="577"/>
      <c r="AX178" s="577"/>
      <c r="AY178" s="577"/>
      <c r="AZ178" s="577"/>
    </row>
    <row r="179" spans="1:52" ht="15.75" customHeight="1" x14ac:dyDescent="0.2">
      <c r="A179" s="577"/>
      <c r="B179" s="577"/>
      <c r="C179" s="577"/>
      <c r="D179" s="577"/>
      <c r="E179" s="577"/>
      <c r="F179" s="577"/>
      <c r="G179" s="577"/>
      <c r="H179" s="577"/>
      <c r="I179" s="577"/>
      <c r="J179" s="577"/>
      <c r="K179" s="577"/>
      <c r="L179" s="577"/>
      <c r="M179" s="577"/>
      <c r="N179" s="577"/>
      <c r="O179" s="577"/>
      <c r="P179" s="577"/>
      <c r="Q179" s="577"/>
      <c r="R179" s="577"/>
      <c r="S179" s="577"/>
      <c r="T179" s="577"/>
      <c r="U179" s="577"/>
      <c r="V179" s="577"/>
      <c r="W179" s="577"/>
      <c r="X179" s="577"/>
      <c r="Y179" s="577"/>
      <c r="Z179" s="577"/>
      <c r="AA179" s="577"/>
      <c r="AB179" s="577"/>
      <c r="AC179" s="577"/>
      <c r="AD179" s="577"/>
      <c r="AE179" s="577"/>
      <c r="AF179" s="577"/>
      <c r="AG179" s="577"/>
      <c r="AH179" s="577"/>
      <c r="AI179" s="577"/>
      <c r="AJ179" s="577"/>
      <c r="AK179" s="577"/>
      <c r="AL179" s="577"/>
      <c r="AM179" s="577"/>
      <c r="AN179" s="577"/>
      <c r="AO179" s="577"/>
      <c r="AP179" s="577"/>
      <c r="AQ179" s="577"/>
      <c r="AR179" s="577"/>
      <c r="AS179" s="577"/>
      <c r="AT179" s="577"/>
      <c r="AU179" s="577"/>
      <c r="AV179" s="577"/>
      <c r="AW179" s="577"/>
      <c r="AX179" s="577"/>
      <c r="AY179" s="577"/>
      <c r="AZ179" s="577"/>
    </row>
    <row r="180" spans="1:52" ht="15.75" customHeight="1" x14ac:dyDescent="0.2">
      <c r="A180" s="577"/>
      <c r="B180" s="577"/>
      <c r="C180" s="577"/>
      <c r="D180" s="577"/>
      <c r="E180" s="577"/>
      <c r="F180" s="577"/>
      <c r="G180" s="577"/>
      <c r="H180" s="577"/>
      <c r="I180" s="577"/>
      <c r="J180" s="577"/>
      <c r="K180" s="577"/>
      <c r="L180" s="577"/>
      <c r="M180" s="577"/>
      <c r="N180" s="577"/>
      <c r="O180" s="577"/>
      <c r="P180" s="577"/>
      <c r="Q180" s="577"/>
      <c r="R180" s="577"/>
      <c r="S180" s="577"/>
      <c r="T180" s="577"/>
      <c r="U180" s="577"/>
      <c r="V180" s="577"/>
      <c r="W180" s="577"/>
      <c r="X180" s="577"/>
      <c r="Y180" s="577"/>
      <c r="Z180" s="577"/>
      <c r="AA180" s="577"/>
      <c r="AB180" s="577"/>
      <c r="AC180" s="577"/>
      <c r="AD180" s="577"/>
      <c r="AE180" s="577"/>
      <c r="AF180" s="577"/>
      <c r="AG180" s="577"/>
      <c r="AH180" s="577"/>
      <c r="AI180" s="577"/>
      <c r="AJ180" s="577"/>
      <c r="AK180" s="577"/>
      <c r="AL180" s="577"/>
      <c r="AM180" s="577"/>
      <c r="AN180" s="577"/>
      <c r="AO180" s="577"/>
      <c r="AP180" s="577"/>
      <c r="AQ180" s="577"/>
      <c r="AR180" s="577"/>
      <c r="AS180" s="577"/>
      <c r="AT180" s="577"/>
      <c r="AU180" s="577"/>
      <c r="AV180" s="577"/>
      <c r="AW180" s="577"/>
      <c r="AX180" s="577"/>
      <c r="AY180" s="577"/>
      <c r="AZ180" s="577"/>
    </row>
    <row r="181" spans="1:52" ht="15.75" customHeight="1" x14ac:dyDescent="0.2">
      <c r="A181" s="577"/>
      <c r="B181" s="577"/>
      <c r="C181" s="577"/>
      <c r="D181" s="577"/>
      <c r="E181" s="577"/>
      <c r="F181" s="577"/>
      <c r="G181" s="577"/>
      <c r="H181" s="577"/>
      <c r="I181" s="577"/>
      <c r="J181" s="577"/>
      <c r="K181" s="577"/>
      <c r="L181" s="577"/>
      <c r="M181" s="577"/>
      <c r="N181" s="577"/>
      <c r="O181" s="577"/>
      <c r="P181" s="577"/>
      <c r="Q181" s="577"/>
      <c r="R181" s="577"/>
      <c r="S181" s="577"/>
      <c r="T181" s="577"/>
      <c r="U181" s="577"/>
      <c r="V181" s="577"/>
      <c r="W181" s="577"/>
      <c r="X181" s="577"/>
      <c r="Y181" s="577"/>
      <c r="Z181" s="577"/>
      <c r="AA181" s="577"/>
      <c r="AB181" s="577"/>
      <c r="AC181" s="577"/>
      <c r="AD181" s="577"/>
      <c r="AE181" s="577"/>
      <c r="AF181" s="577"/>
      <c r="AG181" s="577"/>
      <c r="AH181" s="577"/>
      <c r="AI181" s="577"/>
      <c r="AJ181" s="577"/>
      <c r="AK181" s="577"/>
      <c r="AL181" s="577"/>
      <c r="AM181" s="577"/>
      <c r="AN181" s="577"/>
      <c r="AO181" s="577"/>
      <c r="AP181" s="577"/>
      <c r="AQ181" s="577"/>
      <c r="AR181" s="577"/>
      <c r="AS181" s="577"/>
      <c r="AT181" s="577"/>
      <c r="AU181" s="577"/>
      <c r="AV181" s="577"/>
      <c r="AW181" s="577"/>
      <c r="AX181" s="577"/>
      <c r="AY181" s="577"/>
      <c r="AZ181" s="577"/>
    </row>
    <row r="182" spans="1:52" ht="15.75" customHeight="1" x14ac:dyDescent="0.2">
      <c r="A182" s="577"/>
      <c r="B182" s="577"/>
      <c r="C182" s="577"/>
      <c r="D182" s="577"/>
      <c r="E182" s="577"/>
      <c r="F182" s="577"/>
      <c r="G182" s="577"/>
      <c r="H182" s="577"/>
      <c r="I182" s="577"/>
      <c r="J182" s="577"/>
      <c r="K182" s="577"/>
      <c r="L182" s="577"/>
      <c r="M182" s="577"/>
      <c r="N182" s="577"/>
      <c r="O182" s="577"/>
      <c r="P182" s="577"/>
      <c r="Q182" s="577"/>
      <c r="R182" s="577"/>
      <c r="S182" s="577"/>
      <c r="T182" s="577"/>
      <c r="U182" s="577"/>
      <c r="V182" s="577"/>
      <c r="W182" s="577"/>
      <c r="X182" s="577"/>
      <c r="Y182" s="577"/>
      <c r="Z182" s="577"/>
      <c r="AA182" s="577"/>
      <c r="AB182" s="577"/>
      <c r="AC182" s="577"/>
      <c r="AD182" s="577"/>
      <c r="AE182" s="577"/>
      <c r="AF182" s="577"/>
      <c r="AG182" s="577"/>
      <c r="AH182" s="577"/>
      <c r="AI182" s="577"/>
      <c r="AJ182" s="577"/>
      <c r="AK182" s="577"/>
      <c r="AL182" s="577"/>
      <c r="AM182" s="577"/>
      <c r="AN182" s="577"/>
      <c r="AO182" s="577"/>
      <c r="AP182" s="577"/>
      <c r="AQ182" s="577"/>
      <c r="AR182" s="577"/>
      <c r="AS182" s="577"/>
      <c r="AT182" s="577"/>
      <c r="AU182" s="577"/>
      <c r="AV182" s="577"/>
      <c r="AW182" s="577"/>
      <c r="AX182" s="577"/>
      <c r="AY182" s="577"/>
      <c r="AZ182" s="577"/>
    </row>
    <row r="183" spans="1:52" ht="15.75" customHeight="1" x14ac:dyDescent="0.2">
      <c r="A183" s="577"/>
      <c r="B183" s="577"/>
      <c r="C183" s="577"/>
      <c r="D183" s="577"/>
      <c r="E183" s="577"/>
      <c r="F183" s="577"/>
      <c r="G183" s="577"/>
      <c r="H183" s="577"/>
      <c r="I183" s="577"/>
      <c r="J183" s="577"/>
      <c r="K183" s="577"/>
      <c r="L183" s="577"/>
      <c r="M183" s="577"/>
      <c r="N183" s="577"/>
      <c r="O183" s="577"/>
      <c r="P183" s="577"/>
      <c r="Q183" s="577"/>
      <c r="R183" s="577"/>
      <c r="S183" s="577"/>
      <c r="T183" s="577"/>
      <c r="U183" s="577"/>
      <c r="V183" s="577"/>
      <c r="W183" s="577"/>
      <c r="X183" s="577"/>
      <c r="Y183" s="577"/>
      <c r="Z183" s="577"/>
      <c r="AA183" s="577"/>
      <c r="AB183" s="577"/>
      <c r="AC183" s="577"/>
      <c r="AD183" s="577"/>
      <c r="AE183" s="577"/>
      <c r="AF183" s="577"/>
      <c r="AG183" s="577"/>
      <c r="AH183" s="577"/>
      <c r="AI183" s="577"/>
      <c r="AJ183" s="577"/>
      <c r="AK183" s="577"/>
      <c r="AL183" s="577"/>
      <c r="AM183" s="577"/>
      <c r="AN183" s="577"/>
      <c r="AO183" s="577"/>
      <c r="AP183" s="577"/>
      <c r="AQ183" s="577"/>
      <c r="AR183" s="577"/>
      <c r="AS183" s="577"/>
      <c r="AT183" s="577"/>
      <c r="AU183" s="577"/>
      <c r="AV183" s="577"/>
      <c r="AW183" s="577"/>
      <c r="AX183" s="577"/>
      <c r="AY183" s="577"/>
      <c r="AZ183" s="577"/>
    </row>
    <row r="184" spans="1:52" ht="15.75" customHeight="1" x14ac:dyDescent="0.2">
      <c r="A184" s="577"/>
      <c r="B184" s="577"/>
      <c r="C184" s="577"/>
      <c r="D184" s="577"/>
      <c r="E184" s="577"/>
      <c r="F184" s="577"/>
      <c r="G184" s="577"/>
      <c r="H184" s="577"/>
      <c r="I184" s="577"/>
      <c r="J184" s="577"/>
      <c r="K184" s="577"/>
      <c r="L184" s="577"/>
      <c r="M184" s="577"/>
      <c r="N184" s="577"/>
      <c r="O184" s="577"/>
      <c r="P184" s="577"/>
      <c r="Q184" s="577"/>
      <c r="R184" s="577"/>
      <c r="S184" s="577"/>
      <c r="T184" s="577"/>
      <c r="U184" s="577"/>
      <c r="V184" s="577"/>
      <c r="W184" s="577"/>
      <c r="X184" s="577"/>
      <c r="Y184" s="577"/>
      <c r="Z184" s="577"/>
      <c r="AA184" s="577"/>
      <c r="AB184" s="577"/>
      <c r="AC184" s="577"/>
      <c r="AD184" s="577"/>
      <c r="AE184" s="577"/>
      <c r="AF184" s="577"/>
      <c r="AG184" s="577"/>
      <c r="AH184" s="577"/>
      <c r="AI184" s="577"/>
      <c r="AJ184" s="577"/>
      <c r="AK184" s="577"/>
      <c r="AL184" s="577"/>
      <c r="AM184" s="577"/>
      <c r="AN184" s="577"/>
      <c r="AO184" s="577"/>
      <c r="AP184" s="577"/>
      <c r="AQ184" s="577"/>
      <c r="AR184" s="577"/>
      <c r="AS184" s="577"/>
      <c r="AT184" s="577"/>
      <c r="AU184" s="577"/>
      <c r="AV184" s="577"/>
      <c r="AW184" s="577"/>
      <c r="AX184" s="577"/>
      <c r="AY184" s="577"/>
      <c r="AZ184" s="577"/>
    </row>
    <row r="185" spans="1:52" ht="15.75" customHeight="1" x14ac:dyDescent="0.2">
      <c r="A185" s="577"/>
      <c r="B185" s="577"/>
      <c r="C185" s="577"/>
      <c r="D185" s="577"/>
      <c r="E185" s="577"/>
      <c r="F185" s="577"/>
      <c r="G185" s="577"/>
      <c r="H185" s="577"/>
      <c r="I185" s="577"/>
      <c r="J185" s="577"/>
      <c r="K185" s="577"/>
      <c r="L185" s="577"/>
      <c r="M185" s="577"/>
      <c r="N185" s="577"/>
      <c r="O185" s="577"/>
      <c r="P185" s="577"/>
      <c r="Q185" s="577"/>
      <c r="R185" s="577"/>
      <c r="S185" s="577"/>
      <c r="T185" s="577"/>
      <c r="U185" s="577"/>
      <c r="V185" s="577"/>
      <c r="W185" s="577"/>
      <c r="X185" s="577"/>
      <c r="Y185" s="577"/>
      <c r="Z185" s="577"/>
      <c r="AA185" s="577"/>
      <c r="AB185" s="577"/>
      <c r="AC185" s="577"/>
      <c r="AD185" s="577"/>
      <c r="AE185" s="577"/>
      <c r="AF185" s="577"/>
      <c r="AG185" s="577"/>
      <c r="AH185" s="577"/>
      <c r="AI185" s="577"/>
      <c r="AJ185" s="577"/>
      <c r="AK185" s="577"/>
      <c r="AL185" s="577"/>
      <c r="AM185" s="577"/>
      <c r="AN185" s="577"/>
      <c r="AO185" s="577"/>
      <c r="AP185" s="577"/>
      <c r="AQ185" s="577"/>
      <c r="AR185" s="577"/>
      <c r="AS185" s="577"/>
      <c r="AT185" s="577"/>
      <c r="AU185" s="577"/>
      <c r="AV185" s="577"/>
      <c r="AW185" s="577"/>
      <c r="AX185" s="577"/>
      <c r="AY185" s="577"/>
      <c r="AZ185" s="577"/>
    </row>
    <row r="186" spans="1:52" ht="15.75" customHeight="1" x14ac:dyDescent="0.2">
      <c r="A186" s="577"/>
      <c r="B186" s="577"/>
      <c r="C186" s="577"/>
      <c r="D186" s="577"/>
      <c r="E186" s="577"/>
      <c r="F186" s="577"/>
      <c r="G186" s="577"/>
      <c r="H186" s="577"/>
      <c r="I186" s="577"/>
      <c r="J186" s="577"/>
      <c r="K186" s="577"/>
      <c r="L186" s="577"/>
      <c r="M186" s="577"/>
      <c r="N186" s="577"/>
      <c r="O186" s="577"/>
      <c r="P186" s="577"/>
      <c r="Q186" s="577"/>
      <c r="R186" s="577"/>
      <c r="S186" s="577"/>
      <c r="T186" s="577"/>
      <c r="U186" s="577"/>
      <c r="V186" s="577"/>
      <c r="W186" s="577"/>
      <c r="X186" s="577"/>
      <c r="Y186" s="577"/>
      <c r="Z186" s="577"/>
      <c r="AA186" s="577"/>
      <c r="AB186" s="577"/>
      <c r="AC186" s="577"/>
      <c r="AD186" s="577"/>
      <c r="AE186" s="577"/>
      <c r="AF186" s="577"/>
      <c r="AG186" s="577"/>
      <c r="AH186" s="577"/>
      <c r="AI186" s="577"/>
      <c r="AJ186" s="577"/>
      <c r="AK186" s="577"/>
      <c r="AL186" s="577"/>
      <c r="AM186" s="577"/>
      <c r="AN186" s="577"/>
      <c r="AO186" s="577"/>
      <c r="AP186" s="577"/>
      <c r="AQ186" s="577"/>
      <c r="AR186" s="577"/>
      <c r="AS186" s="577"/>
      <c r="AT186" s="577"/>
      <c r="AU186" s="577"/>
      <c r="AV186" s="577"/>
      <c r="AW186" s="577"/>
      <c r="AX186" s="577"/>
      <c r="AY186" s="577"/>
      <c r="AZ186" s="577"/>
    </row>
    <row r="187" spans="1:52" ht="15.75" customHeight="1" x14ac:dyDescent="0.2">
      <c r="A187" s="577"/>
      <c r="B187" s="577"/>
      <c r="C187" s="577"/>
      <c r="D187" s="577"/>
      <c r="E187" s="577"/>
      <c r="F187" s="577"/>
      <c r="G187" s="577"/>
      <c r="H187" s="577"/>
      <c r="I187" s="577"/>
      <c r="J187" s="577"/>
      <c r="K187" s="577"/>
      <c r="L187" s="577"/>
      <c r="M187" s="577"/>
      <c r="N187" s="577"/>
      <c r="O187" s="577"/>
      <c r="P187" s="577"/>
      <c r="Q187" s="577"/>
      <c r="R187" s="577"/>
      <c r="S187" s="577"/>
      <c r="T187" s="577"/>
      <c r="U187" s="577"/>
      <c r="V187" s="577"/>
      <c r="W187" s="577"/>
      <c r="X187" s="577"/>
      <c r="Y187" s="577"/>
      <c r="Z187" s="577"/>
      <c r="AA187" s="577"/>
      <c r="AB187" s="577"/>
      <c r="AC187" s="577"/>
      <c r="AD187" s="577"/>
      <c r="AE187" s="577"/>
      <c r="AF187" s="577"/>
      <c r="AG187" s="577"/>
      <c r="AH187" s="577"/>
      <c r="AI187" s="577"/>
      <c r="AJ187" s="577"/>
      <c r="AK187" s="577"/>
      <c r="AL187" s="577"/>
      <c r="AM187" s="577"/>
      <c r="AN187" s="577"/>
      <c r="AO187" s="577"/>
      <c r="AP187" s="577"/>
      <c r="AQ187" s="577"/>
      <c r="AR187" s="577"/>
      <c r="AS187" s="577"/>
      <c r="AT187" s="577"/>
      <c r="AU187" s="577"/>
      <c r="AV187" s="577"/>
      <c r="AW187" s="577"/>
      <c r="AX187" s="577"/>
      <c r="AY187" s="577"/>
      <c r="AZ187" s="577"/>
    </row>
    <row r="188" spans="1:52" ht="15.75" customHeight="1" x14ac:dyDescent="0.2">
      <c r="A188" s="577"/>
      <c r="B188" s="577"/>
      <c r="C188" s="577"/>
      <c r="D188" s="577"/>
      <c r="E188" s="577"/>
      <c r="F188" s="577"/>
      <c r="G188" s="577"/>
      <c r="H188" s="577"/>
      <c r="I188" s="577"/>
      <c r="J188" s="577"/>
      <c r="K188" s="577"/>
      <c r="L188" s="577"/>
      <c r="M188" s="577"/>
      <c r="N188" s="577"/>
      <c r="O188" s="577"/>
      <c r="P188" s="577"/>
      <c r="Q188" s="577"/>
      <c r="R188" s="577"/>
      <c r="S188" s="577"/>
      <c r="T188" s="577"/>
      <c r="U188" s="577"/>
      <c r="V188" s="577"/>
      <c r="W188" s="577"/>
      <c r="X188" s="577"/>
      <c r="Y188" s="577"/>
      <c r="Z188" s="577"/>
      <c r="AA188" s="577"/>
      <c r="AB188" s="577"/>
      <c r="AC188" s="577"/>
      <c r="AD188" s="577"/>
      <c r="AE188" s="577"/>
      <c r="AF188" s="577"/>
      <c r="AG188" s="577"/>
      <c r="AH188" s="577"/>
      <c r="AI188" s="577"/>
      <c r="AJ188" s="577"/>
      <c r="AK188" s="577"/>
      <c r="AL188" s="577"/>
      <c r="AM188" s="577"/>
      <c r="AN188" s="577"/>
      <c r="AO188" s="577"/>
      <c r="AP188" s="577"/>
      <c r="AQ188" s="577"/>
      <c r="AR188" s="577"/>
      <c r="AS188" s="577"/>
      <c r="AT188" s="577"/>
      <c r="AU188" s="577"/>
      <c r="AV188" s="577"/>
      <c r="AW188" s="577"/>
      <c r="AX188" s="577"/>
      <c r="AY188" s="577"/>
      <c r="AZ188" s="577"/>
    </row>
    <row r="189" spans="1:52" ht="15.75" customHeight="1" x14ac:dyDescent="0.2">
      <c r="A189" s="577"/>
      <c r="B189" s="577"/>
      <c r="C189" s="577"/>
      <c r="D189" s="577"/>
      <c r="E189" s="577"/>
      <c r="F189" s="577"/>
      <c r="G189" s="577"/>
      <c r="H189" s="577"/>
      <c r="I189" s="577"/>
      <c r="J189" s="577"/>
      <c r="K189" s="577"/>
      <c r="L189" s="577"/>
      <c r="M189" s="577"/>
      <c r="N189" s="577"/>
      <c r="O189" s="577"/>
      <c r="P189" s="577"/>
      <c r="Q189" s="577"/>
      <c r="R189" s="577"/>
      <c r="S189" s="577"/>
      <c r="T189" s="577"/>
      <c r="U189" s="577"/>
      <c r="V189" s="577"/>
      <c r="W189" s="577"/>
      <c r="X189" s="577"/>
      <c r="Y189" s="577"/>
      <c r="Z189" s="577"/>
      <c r="AA189" s="577"/>
      <c r="AB189" s="577"/>
      <c r="AC189" s="577"/>
      <c r="AD189" s="577"/>
      <c r="AE189" s="577"/>
      <c r="AF189" s="577"/>
      <c r="AG189" s="577"/>
      <c r="AH189" s="577"/>
      <c r="AI189" s="577"/>
      <c r="AJ189" s="577"/>
      <c r="AK189" s="577"/>
      <c r="AL189" s="577"/>
      <c r="AM189" s="577"/>
      <c r="AN189" s="577"/>
      <c r="AO189" s="577"/>
      <c r="AP189" s="577"/>
      <c r="AQ189" s="577"/>
      <c r="AR189" s="577"/>
      <c r="AS189" s="577"/>
      <c r="AT189" s="577"/>
      <c r="AU189" s="577"/>
      <c r="AV189" s="577"/>
      <c r="AW189" s="577"/>
      <c r="AX189" s="577"/>
      <c r="AY189" s="577"/>
      <c r="AZ189" s="577"/>
    </row>
    <row r="190" spans="1:52" ht="15.75" customHeight="1" x14ac:dyDescent="0.2">
      <c r="A190" s="577"/>
      <c r="B190" s="577"/>
      <c r="C190" s="577"/>
      <c r="D190" s="577"/>
      <c r="E190" s="577"/>
      <c r="F190" s="577"/>
      <c r="G190" s="577"/>
      <c r="H190" s="577"/>
      <c r="I190" s="577"/>
      <c r="J190" s="577"/>
      <c r="K190" s="577"/>
      <c r="L190" s="577"/>
      <c r="M190" s="577"/>
      <c r="N190" s="577"/>
      <c r="O190" s="577"/>
      <c r="P190" s="577"/>
      <c r="Q190" s="577"/>
      <c r="R190" s="577"/>
      <c r="S190" s="577"/>
      <c r="T190" s="577"/>
      <c r="U190" s="577"/>
      <c r="V190" s="577"/>
      <c r="W190" s="577"/>
      <c r="X190" s="577"/>
      <c r="Y190" s="577"/>
      <c r="Z190" s="577"/>
      <c r="AA190" s="577"/>
      <c r="AB190" s="577"/>
      <c r="AC190" s="577"/>
      <c r="AD190" s="577"/>
      <c r="AE190" s="577"/>
      <c r="AF190" s="577"/>
      <c r="AG190" s="577"/>
      <c r="AH190" s="577"/>
      <c r="AI190" s="577"/>
      <c r="AJ190" s="577"/>
      <c r="AK190" s="577"/>
      <c r="AL190" s="577"/>
      <c r="AM190" s="577"/>
      <c r="AN190" s="577"/>
      <c r="AO190" s="577"/>
      <c r="AP190" s="577"/>
      <c r="AQ190" s="577"/>
      <c r="AR190" s="577"/>
      <c r="AS190" s="577"/>
      <c r="AT190" s="577"/>
      <c r="AU190" s="577"/>
      <c r="AV190" s="577"/>
      <c r="AW190" s="577"/>
      <c r="AX190" s="577"/>
      <c r="AY190" s="577"/>
      <c r="AZ190" s="577"/>
    </row>
    <row r="191" spans="1:52" ht="15.75" customHeight="1" x14ac:dyDescent="0.2">
      <c r="A191" s="577"/>
      <c r="B191" s="577"/>
      <c r="C191" s="577"/>
      <c r="D191" s="577"/>
      <c r="E191" s="577"/>
      <c r="F191" s="577"/>
      <c r="G191" s="577"/>
      <c r="H191" s="577"/>
      <c r="I191" s="577"/>
      <c r="J191" s="577"/>
      <c r="K191" s="577"/>
      <c r="L191" s="577"/>
      <c r="M191" s="577"/>
      <c r="N191" s="577"/>
      <c r="O191" s="577"/>
      <c r="P191" s="577"/>
      <c r="Q191" s="577"/>
      <c r="R191" s="577"/>
      <c r="S191" s="577"/>
      <c r="T191" s="577"/>
      <c r="U191" s="577"/>
      <c r="V191" s="577"/>
      <c r="W191" s="577"/>
      <c r="X191" s="577"/>
      <c r="Y191" s="577"/>
      <c r="Z191" s="577"/>
      <c r="AA191" s="577"/>
      <c r="AB191" s="577"/>
      <c r="AC191" s="577"/>
      <c r="AD191" s="577"/>
      <c r="AE191" s="577"/>
      <c r="AF191" s="577"/>
      <c r="AG191" s="577"/>
      <c r="AH191" s="577"/>
      <c r="AI191" s="577"/>
      <c r="AJ191" s="577"/>
      <c r="AK191" s="577"/>
      <c r="AL191" s="577"/>
      <c r="AM191" s="577"/>
      <c r="AN191" s="577"/>
      <c r="AO191" s="577"/>
      <c r="AP191" s="577"/>
      <c r="AQ191" s="577"/>
      <c r="AR191" s="577"/>
      <c r="AS191" s="577"/>
      <c r="AT191" s="577"/>
      <c r="AU191" s="577"/>
      <c r="AV191" s="577"/>
      <c r="AW191" s="577"/>
      <c r="AX191" s="577"/>
      <c r="AY191" s="577"/>
      <c r="AZ191" s="577"/>
    </row>
    <row r="192" spans="1:52" ht="15.75" customHeight="1" x14ac:dyDescent="0.2">
      <c r="A192" s="577"/>
      <c r="B192" s="577"/>
      <c r="C192" s="577"/>
      <c r="D192" s="577"/>
      <c r="E192" s="577"/>
      <c r="F192" s="577"/>
      <c r="G192" s="577"/>
      <c r="H192" s="577"/>
      <c r="I192" s="577"/>
      <c r="J192" s="577"/>
      <c r="K192" s="577"/>
      <c r="L192" s="577"/>
      <c r="M192" s="577"/>
      <c r="N192" s="577"/>
      <c r="O192" s="577"/>
      <c r="P192" s="577"/>
      <c r="Q192" s="577"/>
      <c r="R192" s="577"/>
      <c r="S192" s="577"/>
      <c r="T192" s="577"/>
      <c r="U192" s="577"/>
      <c r="V192" s="577"/>
      <c r="W192" s="577"/>
      <c r="X192" s="577"/>
      <c r="Y192" s="577"/>
      <c r="Z192" s="577"/>
      <c r="AA192" s="577"/>
      <c r="AB192" s="577"/>
      <c r="AC192" s="577"/>
      <c r="AD192" s="577"/>
      <c r="AE192" s="577"/>
      <c r="AF192" s="577"/>
      <c r="AG192" s="577"/>
      <c r="AH192" s="577"/>
      <c r="AI192" s="577"/>
      <c r="AJ192" s="577"/>
      <c r="AK192" s="577"/>
      <c r="AL192" s="577"/>
      <c r="AM192" s="577"/>
      <c r="AN192" s="577"/>
      <c r="AO192" s="577"/>
      <c r="AP192" s="577"/>
      <c r="AQ192" s="577"/>
      <c r="AR192" s="577"/>
      <c r="AS192" s="577"/>
      <c r="AT192" s="577"/>
      <c r="AU192" s="577"/>
      <c r="AV192" s="577"/>
      <c r="AW192" s="577"/>
      <c r="AX192" s="577"/>
      <c r="AY192" s="577"/>
      <c r="AZ192" s="577"/>
    </row>
    <row r="193" spans="1:52" ht="15.75" customHeight="1" x14ac:dyDescent="0.2">
      <c r="A193" s="577"/>
      <c r="B193" s="577"/>
      <c r="C193" s="577"/>
      <c r="D193" s="577"/>
      <c r="E193" s="577"/>
      <c r="F193" s="577"/>
      <c r="G193" s="577"/>
      <c r="H193" s="577"/>
      <c r="I193" s="577"/>
      <c r="J193" s="577"/>
      <c r="K193" s="577"/>
      <c r="L193" s="577"/>
      <c r="M193" s="577"/>
      <c r="N193" s="577"/>
      <c r="O193" s="577"/>
      <c r="P193" s="577"/>
      <c r="Q193" s="577"/>
      <c r="R193" s="577"/>
      <c r="S193" s="577"/>
      <c r="T193" s="577"/>
      <c r="U193" s="577"/>
      <c r="V193" s="577"/>
      <c r="W193" s="577"/>
      <c r="X193" s="577"/>
      <c r="Y193" s="577"/>
      <c r="Z193" s="577"/>
      <c r="AA193" s="577"/>
      <c r="AB193" s="577"/>
      <c r="AC193" s="577"/>
      <c r="AD193" s="577"/>
      <c r="AE193" s="577"/>
      <c r="AF193" s="577"/>
      <c r="AG193" s="577"/>
      <c r="AH193" s="577"/>
      <c r="AI193" s="577"/>
      <c r="AJ193" s="577"/>
      <c r="AK193" s="577"/>
      <c r="AL193" s="577"/>
      <c r="AM193" s="577"/>
      <c r="AN193" s="577"/>
      <c r="AO193" s="577"/>
      <c r="AP193" s="577"/>
      <c r="AQ193" s="577"/>
      <c r="AR193" s="577"/>
      <c r="AS193" s="577"/>
      <c r="AT193" s="577"/>
      <c r="AU193" s="577"/>
      <c r="AV193" s="577"/>
      <c r="AW193" s="577"/>
      <c r="AX193" s="577"/>
      <c r="AY193" s="577"/>
      <c r="AZ193" s="577"/>
    </row>
    <row r="194" spans="1:52" ht="15.75" customHeight="1" x14ac:dyDescent="0.2">
      <c r="A194" s="577"/>
      <c r="B194" s="577"/>
      <c r="C194" s="577"/>
      <c r="D194" s="577"/>
      <c r="E194" s="577"/>
      <c r="F194" s="577"/>
      <c r="G194" s="577"/>
      <c r="H194" s="577"/>
      <c r="I194" s="577"/>
      <c r="J194" s="577"/>
      <c r="K194" s="577"/>
      <c r="L194" s="577"/>
      <c r="M194" s="577"/>
      <c r="N194" s="577"/>
      <c r="O194" s="577"/>
      <c r="P194" s="577"/>
      <c r="Q194" s="577"/>
      <c r="R194" s="577"/>
      <c r="S194" s="577"/>
      <c r="T194" s="577"/>
      <c r="U194" s="577"/>
      <c r="V194" s="577"/>
      <c r="W194" s="577"/>
      <c r="X194" s="577"/>
      <c r="Y194" s="577"/>
      <c r="Z194" s="577"/>
      <c r="AA194" s="577"/>
      <c r="AB194" s="577"/>
      <c r="AC194" s="577"/>
      <c r="AD194" s="577"/>
      <c r="AE194" s="577"/>
      <c r="AF194" s="577"/>
      <c r="AG194" s="577"/>
      <c r="AH194" s="577"/>
      <c r="AI194" s="577"/>
      <c r="AJ194" s="577"/>
      <c r="AK194" s="577"/>
      <c r="AL194" s="577"/>
      <c r="AM194" s="577"/>
      <c r="AN194" s="577"/>
      <c r="AO194" s="577"/>
      <c r="AP194" s="577"/>
      <c r="AQ194" s="577"/>
      <c r="AR194" s="577"/>
      <c r="AS194" s="577"/>
      <c r="AT194" s="577"/>
      <c r="AU194" s="577"/>
      <c r="AV194" s="577"/>
      <c r="AW194" s="577"/>
      <c r="AX194" s="577"/>
      <c r="AY194" s="577"/>
      <c r="AZ194" s="577"/>
    </row>
    <row r="195" spans="1:52" ht="15.75" customHeight="1" x14ac:dyDescent="0.2">
      <c r="A195" s="577"/>
      <c r="B195" s="577"/>
      <c r="C195" s="577"/>
      <c r="D195" s="577"/>
      <c r="E195" s="577"/>
      <c r="F195" s="577"/>
      <c r="G195" s="577"/>
      <c r="H195" s="577"/>
      <c r="I195" s="577"/>
      <c r="J195" s="577"/>
      <c r="K195" s="577"/>
      <c r="L195" s="577"/>
      <c r="M195" s="577"/>
      <c r="N195" s="577"/>
      <c r="O195" s="577"/>
      <c r="P195" s="577"/>
      <c r="Q195" s="577"/>
      <c r="R195" s="577"/>
      <c r="S195" s="577"/>
      <c r="T195" s="577"/>
      <c r="U195" s="577"/>
      <c r="V195" s="577"/>
      <c r="W195" s="577"/>
      <c r="X195" s="577"/>
      <c r="Y195" s="577"/>
      <c r="Z195" s="577"/>
      <c r="AA195" s="577"/>
      <c r="AB195" s="577"/>
      <c r="AC195" s="577"/>
      <c r="AD195" s="577"/>
      <c r="AE195" s="577"/>
      <c r="AF195" s="577"/>
      <c r="AG195" s="577"/>
      <c r="AH195" s="577"/>
      <c r="AI195" s="577"/>
      <c r="AJ195" s="577"/>
      <c r="AK195" s="577"/>
      <c r="AL195" s="577"/>
      <c r="AM195" s="577"/>
      <c r="AN195" s="577"/>
      <c r="AO195" s="577"/>
      <c r="AP195" s="577"/>
      <c r="AQ195" s="577"/>
      <c r="AR195" s="577"/>
      <c r="AS195" s="577"/>
      <c r="AT195" s="577"/>
      <c r="AU195" s="577"/>
      <c r="AV195" s="577"/>
      <c r="AW195" s="577"/>
      <c r="AX195" s="577"/>
      <c r="AY195" s="577"/>
      <c r="AZ195" s="577"/>
    </row>
    <row r="196" spans="1:52" ht="0" hidden="1" customHeight="1" x14ac:dyDescent="0.2">
      <c r="A196" s="624"/>
      <c r="B196" s="624"/>
      <c r="C196" s="624"/>
      <c r="D196" s="624"/>
      <c r="E196" s="624"/>
      <c r="F196" s="624"/>
      <c r="G196" s="624"/>
      <c r="H196" s="624"/>
      <c r="I196" s="624"/>
      <c r="J196" s="624"/>
      <c r="K196" s="624"/>
      <c r="L196" s="624"/>
      <c r="M196" s="624"/>
      <c r="N196" s="624"/>
      <c r="O196" s="624"/>
      <c r="P196" s="624"/>
      <c r="Q196" s="624"/>
      <c r="R196" s="624"/>
      <c r="S196" s="624"/>
      <c r="T196" s="624"/>
      <c r="U196" s="624"/>
      <c r="V196" s="624"/>
      <c r="W196" s="624"/>
      <c r="X196" s="624"/>
      <c r="Y196" s="624"/>
      <c r="Z196" s="624"/>
      <c r="AA196" s="624"/>
      <c r="AB196" s="624"/>
      <c r="AC196" s="624"/>
      <c r="AD196" s="624"/>
      <c r="AE196" s="624"/>
      <c r="AF196" s="624"/>
      <c r="AG196" s="624"/>
      <c r="AH196" s="624"/>
      <c r="AI196" s="624"/>
      <c r="AJ196" s="624"/>
      <c r="AK196" s="624"/>
      <c r="AL196" s="624"/>
      <c r="AM196" s="624"/>
      <c r="AN196" s="624"/>
      <c r="AO196" s="624"/>
      <c r="AP196" s="624"/>
      <c r="AQ196" s="624"/>
      <c r="AR196" s="624"/>
      <c r="AS196" s="624"/>
      <c r="AT196" s="624"/>
      <c r="AU196" s="624"/>
      <c r="AV196" s="624"/>
      <c r="AW196" s="624"/>
      <c r="AX196" s="624"/>
      <c r="AY196" s="624"/>
      <c r="AZ196" s="624"/>
    </row>
    <row r="197" spans="1:52" ht="0" hidden="1" customHeight="1" x14ac:dyDescent="0.2">
      <c r="A197" s="624"/>
      <c r="B197" s="624"/>
      <c r="C197" s="624"/>
      <c r="D197" s="624"/>
      <c r="E197" s="624"/>
      <c r="F197" s="624"/>
      <c r="G197" s="624"/>
      <c r="H197" s="624"/>
      <c r="I197" s="624"/>
      <c r="J197" s="624"/>
      <c r="K197" s="624"/>
      <c r="L197" s="624"/>
      <c r="M197" s="624"/>
      <c r="N197" s="624"/>
      <c r="O197" s="624"/>
      <c r="P197" s="624"/>
      <c r="Q197" s="624"/>
      <c r="R197" s="624"/>
      <c r="S197" s="624"/>
      <c r="T197" s="624"/>
      <c r="U197" s="624"/>
      <c r="V197" s="624"/>
      <c r="W197" s="624"/>
      <c r="X197" s="624"/>
      <c r="Y197" s="624"/>
      <c r="Z197" s="624"/>
      <c r="AA197" s="624"/>
      <c r="AB197" s="624"/>
      <c r="AC197" s="624"/>
      <c r="AD197" s="624"/>
      <c r="AE197" s="624"/>
      <c r="AF197" s="624"/>
      <c r="AG197" s="624"/>
      <c r="AH197" s="624"/>
      <c r="AI197" s="624"/>
      <c r="AJ197" s="624"/>
      <c r="AK197" s="624"/>
      <c r="AL197" s="624"/>
      <c r="AM197" s="624"/>
      <c r="AN197" s="624"/>
      <c r="AO197" s="624"/>
      <c r="AP197" s="624"/>
      <c r="AQ197" s="624"/>
      <c r="AR197" s="624"/>
      <c r="AS197" s="624"/>
      <c r="AT197" s="624"/>
      <c r="AU197" s="624"/>
      <c r="AV197" s="624"/>
      <c r="AW197" s="624"/>
      <c r="AX197" s="624"/>
      <c r="AY197" s="624"/>
      <c r="AZ197" s="624"/>
    </row>
    <row r="198" spans="1:52" ht="0" hidden="1" customHeight="1" x14ac:dyDescent="0.2">
      <c r="A198" s="624"/>
      <c r="B198" s="624"/>
      <c r="C198" s="624"/>
      <c r="D198" s="624"/>
      <c r="E198" s="624"/>
      <c r="F198" s="624"/>
      <c r="G198" s="624"/>
      <c r="H198" s="624"/>
      <c r="I198" s="624"/>
      <c r="J198" s="624"/>
      <c r="K198" s="624"/>
      <c r="L198" s="624"/>
      <c r="M198" s="624"/>
      <c r="N198" s="624"/>
      <c r="O198" s="624"/>
      <c r="P198" s="624"/>
      <c r="Q198" s="624"/>
      <c r="R198" s="624"/>
      <c r="S198" s="624"/>
      <c r="T198" s="624"/>
      <c r="U198" s="624"/>
      <c r="V198" s="624"/>
      <c r="W198" s="624"/>
      <c r="X198" s="624"/>
      <c r="Y198" s="624"/>
      <c r="Z198" s="624"/>
      <c r="AA198" s="624"/>
      <c r="AB198" s="624"/>
      <c r="AC198" s="624"/>
      <c r="AD198" s="624"/>
      <c r="AE198" s="624"/>
      <c r="AF198" s="624"/>
      <c r="AG198" s="624"/>
      <c r="AH198" s="624"/>
      <c r="AI198" s="624"/>
      <c r="AJ198" s="624"/>
      <c r="AK198" s="624"/>
      <c r="AL198" s="624"/>
      <c r="AM198" s="624"/>
      <c r="AN198" s="624"/>
      <c r="AO198" s="624"/>
      <c r="AP198" s="624"/>
      <c r="AQ198" s="624"/>
      <c r="AR198" s="624"/>
      <c r="AS198" s="624"/>
      <c r="AT198" s="624"/>
      <c r="AU198" s="624"/>
      <c r="AV198" s="624"/>
      <c r="AW198" s="624"/>
      <c r="AX198" s="624"/>
      <c r="AY198" s="624"/>
      <c r="AZ198" s="624"/>
    </row>
    <row r="199" spans="1:52" ht="0" hidden="1" customHeight="1" x14ac:dyDescent="0.2">
      <c r="A199" s="624"/>
      <c r="B199" s="624"/>
      <c r="C199" s="624"/>
      <c r="D199" s="624"/>
      <c r="E199" s="624"/>
      <c r="F199" s="624"/>
      <c r="G199" s="624"/>
      <c r="H199" s="624"/>
      <c r="I199" s="624"/>
      <c r="J199" s="624"/>
      <c r="K199" s="624"/>
      <c r="L199" s="624"/>
      <c r="M199" s="624"/>
      <c r="N199" s="624"/>
      <c r="O199" s="624"/>
      <c r="P199" s="624"/>
      <c r="Q199" s="624"/>
      <c r="R199" s="624"/>
      <c r="S199" s="624"/>
      <c r="T199" s="624"/>
      <c r="U199" s="624"/>
      <c r="V199" s="624"/>
      <c r="W199" s="624"/>
      <c r="X199" s="624"/>
      <c r="Y199" s="624"/>
      <c r="Z199" s="624"/>
      <c r="AA199" s="624"/>
      <c r="AB199" s="624"/>
      <c r="AC199" s="624"/>
      <c r="AD199" s="624"/>
      <c r="AE199" s="624"/>
      <c r="AF199" s="624"/>
      <c r="AG199" s="624"/>
      <c r="AH199" s="624"/>
      <c r="AI199" s="624"/>
      <c r="AJ199" s="624"/>
      <c r="AK199" s="624"/>
      <c r="AL199" s="624"/>
      <c r="AM199" s="624"/>
      <c r="AN199" s="624"/>
      <c r="AO199" s="624"/>
      <c r="AP199" s="624"/>
      <c r="AQ199" s="624"/>
      <c r="AR199" s="624"/>
      <c r="AS199" s="624"/>
      <c r="AT199" s="624"/>
      <c r="AU199" s="624"/>
      <c r="AV199" s="624"/>
      <c r="AW199" s="624"/>
      <c r="AX199" s="624"/>
      <c r="AY199" s="624"/>
      <c r="AZ199" s="624"/>
    </row>
    <row r="200" spans="1:52" ht="0" hidden="1" customHeight="1" x14ac:dyDescent="0.2">
      <c r="A200" s="624"/>
      <c r="B200" s="624"/>
      <c r="C200" s="624"/>
      <c r="D200" s="624"/>
      <c r="E200" s="624"/>
      <c r="F200" s="624"/>
      <c r="G200" s="624"/>
      <c r="H200" s="624"/>
      <c r="I200" s="624"/>
      <c r="J200" s="624"/>
      <c r="K200" s="624"/>
      <c r="L200" s="624"/>
      <c r="M200" s="624"/>
      <c r="N200" s="624"/>
      <c r="O200" s="624"/>
      <c r="P200" s="624"/>
      <c r="Q200" s="624"/>
      <c r="R200" s="624"/>
      <c r="S200" s="624"/>
      <c r="T200" s="624"/>
      <c r="U200" s="624"/>
      <c r="V200" s="624"/>
      <c r="W200" s="624"/>
      <c r="X200" s="624"/>
      <c r="Y200" s="624"/>
      <c r="Z200" s="624"/>
      <c r="AA200" s="624"/>
      <c r="AB200" s="624"/>
      <c r="AC200" s="624"/>
      <c r="AD200" s="624"/>
      <c r="AE200" s="624"/>
      <c r="AF200" s="624"/>
      <c r="AG200" s="624"/>
      <c r="AH200" s="624"/>
      <c r="AI200" s="624"/>
      <c r="AJ200" s="624"/>
      <c r="AK200" s="624"/>
      <c r="AL200" s="624"/>
      <c r="AM200" s="624"/>
      <c r="AN200" s="624"/>
      <c r="AO200" s="624"/>
      <c r="AP200" s="624"/>
      <c r="AQ200" s="624"/>
      <c r="AR200" s="624"/>
      <c r="AS200" s="624"/>
      <c r="AT200" s="624"/>
      <c r="AU200" s="624"/>
      <c r="AV200" s="624"/>
      <c r="AW200" s="624"/>
      <c r="AX200" s="624"/>
      <c r="AY200" s="624"/>
      <c r="AZ200" s="624"/>
    </row>
  </sheetData>
  <sheetProtection formatCells="0" formatColumns="0" formatRows="0" autoFilter="0"/>
  <pageMargins left="0.75" right="0.75" top="1" bottom="1" header="0.5" footer="0.5"/>
  <pageSetup scale="62" orientation="portrait"/>
  <headerFooter alignWithMargins="0">
    <oddHeader>&amp;CSpring 2018 Exam 5 Make-Up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Z200"/>
  <sheetViews>
    <sheetView zoomScale="80" zoomScaleNormal="80" zoomScalePageLayoutView="80" workbookViewId="0"/>
  </sheetViews>
  <sheetFormatPr defaultColWidth="0" defaultRowHeight="0" customHeight="1" zeroHeight="1" x14ac:dyDescent="0.2"/>
  <cols>
    <col min="1" max="2" width="11.125" style="578" customWidth="1"/>
    <col min="3" max="3" width="14" style="578" customWidth="1"/>
    <col min="4" max="10" width="11.125" style="578" customWidth="1"/>
    <col min="11" max="11" width="9.625" style="578" customWidth="1"/>
    <col min="12" max="12" width="10" style="578" customWidth="1"/>
    <col min="13" max="15" width="7.625" style="578" customWidth="1"/>
    <col min="16" max="18" width="13" style="578" customWidth="1"/>
    <col min="19" max="19" width="13.375" style="578" customWidth="1"/>
    <col min="20" max="49" width="7.625" style="578" customWidth="1"/>
    <col min="50" max="16384" width="7.625" style="578" hidden="1"/>
  </cols>
  <sheetData>
    <row r="1" spans="1:52" ht="15.75" customHeight="1" thickBot="1" x14ac:dyDescent="0.25">
      <c r="A1" s="1">
        <v>17</v>
      </c>
      <c r="B1" s="2"/>
      <c r="C1" s="574"/>
      <c r="D1" s="575"/>
      <c r="E1" s="575"/>
      <c r="F1" s="575"/>
      <c r="G1" s="575"/>
      <c r="H1" s="575"/>
      <c r="I1" s="575"/>
      <c r="J1" s="575"/>
      <c r="K1" s="575"/>
      <c r="L1" s="575"/>
      <c r="M1" s="576"/>
      <c r="N1" s="577"/>
      <c r="O1" s="577"/>
      <c r="P1" s="577"/>
      <c r="Q1" s="577"/>
      <c r="R1" s="577"/>
      <c r="S1" s="577"/>
      <c r="T1" s="577"/>
      <c r="U1" s="577"/>
      <c r="V1" s="577"/>
      <c r="W1" s="577"/>
      <c r="X1" s="577"/>
      <c r="Y1" s="577"/>
      <c r="Z1" s="577"/>
      <c r="AA1" s="577"/>
      <c r="AB1" s="577"/>
      <c r="AC1" s="577"/>
      <c r="AD1" s="577"/>
      <c r="AE1" s="577"/>
      <c r="AF1" s="577"/>
      <c r="AG1" s="577"/>
      <c r="AH1" s="577"/>
      <c r="AI1" s="577"/>
      <c r="AJ1" s="577"/>
      <c r="AK1" s="577"/>
      <c r="AL1" s="577"/>
      <c r="AM1" s="577"/>
      <c r="AN1" s="577"/>
      <c r="AO1" s="577"/>
      <c r="AP1" s="577"/>
      <c r="AQ1" s="577"/>
      <c r="AR1" s="577"/>
      <c r="AS1" s="577"/>
      <c r="AT1" s="577"/>
      <c r="AU1" s="577"/>
      <c r="AV1" s="577"/>
      <c r="AW1" s="577"/>
      <c r="AX1" s="577"/>
      <c r="AY1" s="577"/>
      <c r="AZ1" s="577"/>
    </row>
    <row r="2" spans="1:52" ht="15.75" customHeight="1" x14ac:dyDescent="0.2">
      <c r="A2" s="579" t="s">
        <v>0</v>
      </c>
      <c r="B2" s="580"/>
      <c r="C2" s="581"/>
      <c r="D2" s="581"/>
      <c r="E2" s="581"/>
      <c r="F2" s="581"/>
      <c r="G2" s="581"/>
      <c r="H2" s="581"/>
      <c r="I2" s="581"/>
      <c r="J2" s="581"/>
      <c r="K2" s="581"/>
      <c r="L2" s="581"/>
      <c r="M2" s="582"/>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577"/>
      <c r="AN2" s="577"/>
      <c r="AO2" s="577"/>
      <c r="AP2" s="577"/>
      <c r="AQ2" s="577"/>
      <c r="AR2" s="577"/>
      <c r="AS2" s="577"/>
      <c r="AT2" s="577"/>
      <c r="AU2" s="577"/>
      <c r="AV2" s="577"/>
      <c r="AW2" s="577"/>
      <c r="AX2" s="577"/>
      <c r="AY2" s="577"/>
      <c r="AZ2" s="577"/>
    </row>
    <row r="3" spans="1:52" ht="15.75" customHeight="1" x14ac:dyDescent="0.2">
      <c r="A3" s="583">
        <v>2</v>
      </c>
      <c r="B3" s="11"/>
      <c r="C3" s="581"/>
      <c r="D3" s="581"/>
      <c r="E3" s="581"/>
      <c r="F3" s="581"/>
      <c r="G3" s="581"/>
      <c r="H3" s="581"/>
      <c r="I3" s="581"/>
      <c r="J3" s="581"/>
      <c r="K3" s="581"/>
      <c r="L3" s="581"/>
      <c r="M3" s="582"/>
      <c r="N3" s="577"/>
      <c r="O3" s="577" t="s">
        <v>582</v>
      </c>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577"/>
      <c r="AW3" s="577"/>
      <c r="AX3" s="577"/>
      <c r="AY3" s="577"/>
      <c r="AZ3" s="577"/>
    </row>
    <row r="4" spans="1:52" ht="15.75" customHeight="1" x14ac:dyDescent="0.2">
      <c r="A4" s="584"/>
      <c r="B4" s="581" t="s">
        <v>568</v>
      </c>
      <c r="C4" s="581"/>
      <c r="D4" s="581"/>
      <c r="E4" s="581"/>
      <c r="F4" s="581"/>
      <c r="G4" s="581"/>
      <c r="H4" s="581"/>
      <c r="I4" s="581"/>
      <c r="J4" s="581"/>
      <c r="K4" s="581"/>
      <c r="L4" s="581"/>
      <c r="M4" s="582"/>
      <c r="N4" s="577"/>
      <c r="O4" s="577" t="s">
        <v>61</v>
      </c>
      <c r="P4" s="577">
        <v>12</v>
      </c>
      <c r="Q4" s="577">
        <v>24</v>
      </c>
      <c r="R4" s="577">
        <v>36</v>
      </c>
      <c r="S4" s="577">
        <v>48</v>
      </c>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c r="AT4" s="577"/>
      <c r="AU4" s="577"/>
      <c r="AV4" s="577"/>
      <c r="AW4" s="577"/>
      <c r="AX4" s="577"/>
      <c r="AY4" s="577"/>
      <c r="AZ4" s="577"/>
    </row>
    <row r="5" spans="1:52" ht="15.75" customHeight="1" thickBot="1" x14ac:dyDescent="0.25">
      <c r="A5" s="584"/>
      <c r="B5" s="581"/>
      <c r="C5" s="581"/>
      <c r="D5" s="581"/>
      <c r="E5" s="581"/>
      <c r="F5" s="581"/>
      <c r="G5" s="581"/>
      <c r="H5" s="581"/>
      <c r="I5" s="581"/>
      <c r="J5" s="581"/>
      <c r="K5" s="581"/>
      <c r="L5" s="581"/>
      <c r="M5" s="582"/>
      <c r="N5" s="577"/>
      <c r="O5" s="577">
        <v>14</v>
      </c>
      <c r="P5" s="619">
        <f>C8/$C15</f>
        <v>0.86734693877551017</v>
      </c>
      <c r="Q5" s="619">
        <f t="shared" ref="Q5:R7" si="0">D8/$C15</f>
        <v>0.93877551020408168</v>
      </c>
      <c r="R5" s="619">
        <f t="shared" si="0"/>
        <v>0.96938775510204078</v>
      </c>
      <c r="S5" s="619">
        <f>F8/$C15</f>
        <v>1</v>
      </c>
      <c r="T5" s="577"/>
      <c r="U5" s="577"/>
      <c r="V5" s="577"/>
      <c r="W5" s="577"/>
      <c r="X5" s="577"/>
      <c r="Y5" s="577"/>
      <c r="Z5" s="577"/>
      <c r="AA5" s="577"/>
      <c r="AB5" s="577"/>
      <c r="AC5" s="577"/>
      <c r="AD5" s="577"/>
      <c r="AE5" s="577"/>
      <c r="AF5" s="577"/>
      <c r="AG5" s="577"/>
      <c r="AH5" s="577"/>
      <c r="AI5" s="577"/>
      <c r="AJ5" s="577"/>
      <c r="AK5" s="577"/>
      <c r="AL5" s="577"/>
      <c r="AM5" s="577"/>
      <c r="AN5" s="577"/>
      <c r="AO5" s="577"/>
      <c r="AP5" s="577"/>
      <c r="AQ5" s="577"/>
      <c r="AR5" s="577"/>
      <c r="AS5" s="577"/>
      <c r="AT5" s="577"/>
      <c r="AU5" s="577"/>
      <c r="AV5" s="577"/>
      <c r="AW5" s="577"/>
      <c r="AX5" s="577"/>
      <c r="AY5" s="577"/>
      <c r="AZ5" s="577"/>
    </row>
    <row r="6" spans="1:52" ht="15.75" customHeight="1" x14ac:dyDescent="0.2">
      <c r="A6" s="584"/>
      <c r="B6" s="585" t="s">
        <v>135</v>
      </c>
      <c r="C6" s="586" t="s">
        <v>569</v>
      </c>
      <c r="D6" s="587"/>
      <c r="E6" s="587"/>
      <c r="F6" s="588"/>
      <c r="G6" s="581"/>
      <c r="H6" s="585" t="s">
        <v>135</v>
      </c>
      <c r="I6" s="586" t="s">
        <v>570</v>
      </c>
      <c r="J6" s="587"/>
      <c r="K6" s="587"/>
      <c r="L6" s="588"/>
      <c r="M6" s="582"/>
      <c r="N6" s="577"/>
      <c r="O6" s="577">
        <v>15</v>
      </c>
      <c r="P6" s="619">
        <f t="shared" ref="P6:P8" si="1">C9/$C16</f>
        <v>0.89743589743589747</v>
      </c>
      <c r="Q6" s="619">
        <f t="shared" si="0"/>
        <v>0.9538461538461539</v>
      </c>
      <c r="R6" s="619">
        <f t="shared" si="0"/>
        <v>0.99487179487179489</v>
      </c>
      <c r="S6" s="619"/>
      <c r="T6" s="577"/>
      <c r="U6" s="577"/>
      <c r="V6" s="577"/>
      <c r="W6" s="577"/>
      <c r="X6" s="577"/>
      <c r="Y6" s="577"/>
      <c r="Z6" s="577"/>
      <c r="AA6" s="577"/>
      <c r="AB6" s="577"/>
      <c r="AC6" s="577"/>
      <c r="AD6" s="577"/>
      <c r="AE6" s="577"/>
      <c r="AF6" s="577"/>
      <c r="AG6" s="577"/>
      <c r="AH6" s="577"/>
      <c r="AI6" s="577"/>
      <c r="AJ6" s="577"/>
      <c r="AK6" s="577"/>
      <c r="AL6" s="577"/>
      <c r="AM6" s="577"/>
      <c r="AN6" s="577"/>
      <c r="AO6" s="577"/>
      <c r="AP6" s="577"/>
      <c r="AQ6" s="577"/>
      <c r="AR6" s="577"/>
      <c r="AS6" s="577"/>
      <c r="AT6" s="577"/>
      <c r="AU6" s="577"/>
      <c r="AV6" s="577"/>
      <c r="AW6" s="577"/>
      <c r="AX6" s="577"/>
      <c r="AY6" s="577"/>
      <c r="AZ6" s="577"/>
    </row>
    <row r="7" spans="1:52" ht="15.75" customHeight="1" thickBot="1" x14ac:dyDescent="0.25">
      <c r="A7" s="584"/>
      <c r="B7" s="589" t="s">
        <v>83</v>
      </c>
      <c r="C7" s="526">
        <v>12</v>
      </c>
      <c r="D7" s="526">
        <v>24</v>
      </c>
      <c r="E7" s="526">
        <v>36</v>
      </c>
      <c r="F7" s="23">
        <v>48</v>
      </c>
      <c r="G7" s="581"/>
      <c r="H7" s="589" t="s">
        <v>83</v>
      </c>
      <c r="I7" s="526">
        <v>12</v>
      </c>
      <c r="J7" s="526">
        <v>24</v>
      </c>
      <c r="K7" s="526">
        <v>36</v>
      </c>
      <c r="L7" s="23">
        <v>48</v>
      </c>
      <c r="M7" s="582"/>
      <c r="N7" s="577"/>
      <c r="O7" s="577">
        <v>16</v>
      </c>
      <c r="P7" s="619">
        <f t="shared" si="1"/>
        <v>0.89898989898989901</v>
      </c>
      <c r="Q7" s="619">
        <f t="shared" si="0"/>
        <v>0.95959595959595956</v>
      </c>
      <c r="R7" s="619"/>
      <c r="S7" s="619"/>
      <c r="T7" s="577"/>
      <c r="U7" s="577"/>
      <c r="V7" s="577"/>
      <c r="W7" s="577"/>
      <c r="X7" s="577"/>
      <c r="Y7" s="577"/>
      <c r="Z7" s="577"/>
      <c r="AA7" s="577"/>
      <c r="AB7" s="577"/>
      <c r="AC7" s="577"/>
      <c r="AD7" s="577"/>
      <c r="AE7" s="577"/>
      <c r="AF7" s="577"/>
      <c r="AG7" s="577"/>
      <c r="AH7" s="577"/>
      <c r="AI7" s="577"/>
      <c r="AJ7" s="577"/>
      <c r="AK7" s="577"/>
      <c r="AL7" s="577"/>
      <c r="AM7" s="577"/>
      <c r="AN7" s="577"/>
      <c r="AO7" s="577"/>
      <c r="AP7" s="577"/>
      <c r="AQ7" s="577"/>
      <c r="AR7" s="577"/>
      <c r="AS7" s="577"/>
      <c r="AT7" s="577"/>
      <c r="AU7" s="577"/>
      <c r="AV7" s="577"/>
      <c r="AW7" s="577"/>
      <c r="AX7" s="577"/>
      <c r="AY7" s="577"/>
      <c r="AZ7" s="577"/>
    </row>
    <row r="8" spans="1:52" ht="15.75" customHeight="1" x14ac:dyDescent="0.2">
      <c r="A8" s="584"/>
      <c r="B8" s="590">
        <v>2014</v>
      </c>
      <c r="C8" s="591">
        <v>170</v>
      </c>
      <c r="D8" s="524">
        <v>184</v>
      </c>
      <c r="E8" s="524">
        <v>190</v>
      </c>
      <c r="F8" s="525">
        <v>196</v>
      </c>
      <c r="G8" s="581"/>
      <c r="H8" s="590">
        <v>2014</v>
      </c>
      <c r="I8" s="592">
        <v>7500</v>
      </c>
      <c r="J8" s="593">
        <v>12800</v>
      </c>
      <c r="K8" s="593">
        <v>18000</v>
      </c>
      <c r="L8" s="594">
        <v>25000</v>
      </c>
      <c r="M8" s="582"/>
      <c r="N8" s="577"/>
      <c r="O8" s="577">
        <v>17</v>
      </c>
      <c r="P8" s="619">
        <f t="shared" si="1"/>
        <v>0.92500000000000004</v>
      </c>
      <c r="Q8" s="619"/>
      <c r="R8" s="619"/>
      <c r="S8" s="619"/>
      <c r="T8" s="577"/>
      <c r="U8" s="577"/>
      <c r="V8" s="577"/>
      <c r="W8" s="577"/>
      <c r="X8" s="577"/>
      <c r="Y8" s="577"/>
      <c r="Z8" s="577"/>
      <c r="AA8" s="577"/>
      <c r="AB8" s="577"/>
      <c r="AC8" s="577"/>
      <c r="AD8" s="577"/>
      <c r="AE8" s="577"/>
      <c r="AF8" s="577"/>
      <c r="AG8" s="577"/>
      <c r="AH8" s="577"/>
      <c r="AI8" s="577"/>
      <c r="AJ8" s="577"/>
      <c r="AK8" s="577"/>
      <c r="AL8" s="577"/>
      <c r="AM8" s="577"/>
      <c r="AN8" s="577"/>
      <c r="AO8" s="577"/>
      <c r="AP8" s="577"/>
      <c r="AQ8" s="577"/>
      <c r="AR8" s="577"/>
      <c r="AS8" s="577"/>
      <c r="AT8" s="577"/>
      <c r="AU8" s="577"/>
      <c r="AV8" s="577"/>
      <c r="AW8" s="577"/>
      <c r="AX8" s="577"/>
      <c r="AY8" s="577"/>
      <c r="AZ8" s="577"/>
    </row>
    <row r="9" spans="1:52" ht="15.75" customHeight="1" x14ac:dyDescent="0.2">
      <c r="A9" s="584"/>
      <c r="B9" s="595">
        <v>2015</v>
      </c>
      <c r="C9" s="596">
        <v>175</v>
      </c>
      <c r="D9" s="597">
        <v>186</v>
      </c>
      <c r="E9" s="597">
        <v>194</v>
      </c>
      <c r="F9" s="19"/>
      <c r="G9" s="581"/>
      <c r="H9" s="595">
        <v>2015</v>
      </c>
      <c r="I9" s="598">
        <v>7250</v>
      </c>
      <c r="J9" s="599">
        <v>13000</v>
      </c>
      <c r="K9" s="599">
        <v>18500</v>
      </c>
      <c r="L9" s="600"/>
      <c r="M9" s="582"/>
      <c r="N9" s="577"/>
      <c r="O9" s="577"/>
      <c r="P9" s="577"/>
      <c r="Q9" s="577"/>
      <c r="R9" s="577"/>
      <c r="S9" s="577"/>
      <c r="T9" s="577"/>
      <c r="U9" s="577"/>
      <c r="V9" s="577"/>
      <c r="W9" s="577"/>
      <c r="X9" s="577"/>
      <c r="Y9" s="577"/>
      <c r="Z9" s="577"/>
      <c r="AA9" s="577"/>
      <c r="AB9" s="577"/>
      <c r="AC9" s="577"/>
      <c r="AD9" s="577"/>
      <c r="AE9" s="577"/>
      <c r="AF9" s="577"/>
      <c r="AG9" s="577"/>
      <c r="AH9" s="577"/>
      <c r="AI9" s="577"/>
      <c r="AJ9" s="577"/>
      <c r="AK9" s="577"/>
      <c r="AL9" s="577"/>
      <c r="AM9" s="577"/>
      <c r="AN9" s="577"/>
      <c r="AO9" s="577"/>
      <c r="AP9" s="577"/>
      <c r="AQ9" s="577"/>
      <c r="AR9" s="577"/>
      <c r="AS9" s="577"/>
      <c r="AT9" s="577"/>
      <c r="AU9" s="577"/>
      <c r="AV9" s="577"/>
      <c r="AW9" s="577"/>
      <c r="AX9" s="577"/>
      <c r="AY9" s="577"/>
      <c r="AZ9" s="577"/>
    </row>
    <row r="10" spans="1:52" ht="15.75" customHeight="1" x14ac:dyDescent="0.2">
      <c r="A10" s="584"/>
      <c r="B10" s="595">
        <v>2016</v>
      </c>
      <c r="C10" s="596">
        <v>178</v>
      </c>
      <c r="D10" s="597">
        <v>190</v>
      </c>
      <c r="E10" s="597"/>
      <c r="F10" s="19"/>
      <c r="G10" s="581"/>
      <c r="H10" s="595">
        <v>2016</v>
      </c>
      <c r="I10" s="598">
        <v>7700</v>
      </c>
      <c r="J10" s="599">
        <v>13450</v>
      </c>
      <c r="K10" s="599"/>
      <c r="L10" s="600"/>
      <c r="M10" s="582"/>
      <c r="N10" s="577"/>
      <c r="O10" s="625" t="s">
        <v>583</v>
      </c>
      <c r="P10" s="577"/>
      <c r="Q10" s="577"/>
      <c r="R10" s="577"/>
      <c r="S10" s="577"/>
      <c r="T10" s="577"/>
      <c r="U10" s="577"/>
      <c r="V10" s="577"/>
      <c r="W10" s="577"/>
      <c r="X10" s="577"/>
      <c r="Y10" s="577"/>
      <c r="Z10" s="577"/>
      <c r="AA10" s="577"/>
      <c r="AB10" s="577"/>
      <c r="AC10" s="577"/>
      <c r="AD10" s="577"/>
      <c r="AE10" s="577"/>
      <c r="AF10" s="577"/>
      <c r="AG10" s="577"/>
      <c r="AH10" s="577"/>
      <c r="AI10" s="577"/>
      <c r="AJ10" s="577"/>
      <c r="AK10" s="577"/>
      <c r="AL10" s="577"/>
      <c r="AM10" s="577"/>
      <c r="AN10" s="577"/>
      <c r="AO10" s="577"/>
      <c r="AP10" s="577"/>
      <c r="AQ10" s="577"/>
      <c r="AR10" s="577"/>
      <c r="AS10" s="577"/>
      <c r="AT10" s="577"/>
      <c r="AU10" s="577"/>
      <c r="AV10" s="577"/>
      <c r="AW10" s="577"/>
      <c r="AX10" s="577"/>
      <c r="AY10" s="577"/>
      <c r="AZ10" s="577"/>
    </row>
    <row r="11" spans="1:52" ht="15.75" customHeight="1" thickBot="1" x14ac:dyDescent="0.25">
      <c r="A11" s="584"/>
      <c r="B11" s="601">
        <v>2017</v>
      </c>
      <c r="C11" s="602">
        <v>185</v>
      </c>
      <c r="D11" s="526"/>
      <c r="E11" s="526"/>
      <c r="F11" s="23"/>
      <c r="G11" s="581"/>
      <c r="H11" s="601">
        <v>2017</v>
      </c>
      <c r="I11" s="603">
        <v>7950</v>
      </c>
      <c r="J11" s="604"/>
      <c r="K11" s="604"/>
      <c r="L11" s="605"/>
      <c r="M11" s="582"/>
      <c r="N11" s="577"/>
      <c r="O11" s="577" t="s">
        <v>584</v>
      </c>
      <c r="P11" s="619">
        <f>AVERAGE(P6:P8)</f>
        <v>0.90714193214193217</v>
      </c>
      <c r="Q11" s="619">
        <f>AVERAGE(Q5:Q7)</f>
        <v>0.95073920788206501</v>
      </c>
      <c r="R11" s="619">
        <f>AVERAGE(R5:R7)</f>
        <v>0.98212977498691778</v>
      </c>
      <c r="S11" s="619">
        <f>AVERAGE(S5:S7)</f>
        <v>1</v>
      </c>
      <c r="T11" s="577"/>
      <c r="U11" s="577"/>
      <c r="V11" s="577"/>
      <c r="W11" s="577"/>
      <c r="X11" s="577"/>
      <c r="Y11" s="577"/>
      <c r="Z11" s="577"/>
      <c r="AA11" s="577"/>
      <c r="AB11" s="577"/>
      <c r="AC11" s="577"/>
      <c r="AD11" s="577"/>
      <c r="AE11" s="577"/>
      <c r="AF11" s="577"/>
      <c r="AG11" s="577"/>
      <c r="AH11" s="577"/>
      <c r="AI11" s="577"/>
      <c r="AJ11" s="577"/>
      <c r="AK11" s="577"/>
      <c r="AL11" s="577"/>
      <c r="AM11" s="577"/>
      <c r="AN11" s="577"/>
      <c r="AO11" s="577"/>
      <c r="AP11" s="577"/>
      <c r="AQ11" s="577"/>
      <c r="AR11" s="577"/>
      <c r="AS11" s="577"/>
      <c r="AT11" s="577"/>
      <c r="AU11" s="577"/>
      <c r="AV11" s="577"/>
      <c r="AW11" s="577"/>
      <c r="AX11" s="577"/>
      <c r="AY11" s="577"/>
      <c r="AZ11" s="577"/>
    </row>
    <row r="12" spans="1:52" ht="15.75" customHeight="1" thickBot="1" x14ac:dyDescent="0.25">
      <c r="A12" s="584"/>
      <c r="B12" s="581"/>
      <c r="C12" s="581"/>
      <c r="D12" s="581"/>
      <c r="E12" s="581"/>
      <c r="F12" s="581"/>
      <c r="G12" s="581"/>
      <c r="H12" s="581"/>
      <c r="I12" s="581"/>
      <c r="J12" s="581"/>
      <c r="K12" s="581"/>
      <c r="L12" s="581"/>
      <c r="M12" s="582"/>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7"/>
      <c r="AL12" s="577"/>
      <c r="AM12" s="577"/>
      <c r="AN12" s="577"/>
      <c r="AO12" s="577"/>
      <c r="AP12" s="577"/>
      <c r="AQ12" s="577"/>
      <c r="AR12" s="577"/>
      <c r="AS12" s="577"/>
      <c r="AT12" s="577"/>
      <c r="AU12" s="577"/>
      <c r="AV12" s="577"/>
      <c r="AW12" s="577"/>
      <c r="AX12" s="577"/>
      <c r="AY12" s="577"/>
      <c r="AZ12" s="577"/>
    </row>
    <row r="13" spans="1:52" ht="15.75" customHeight="1" x14ac:dyDescent="0.2">
      <c r="A13" s="584"/>
      <c r="B13" s="606" t="s">
        <v>135</v>
      </c>
      <c r="C13" s="607" t="s">
        <v>571</v>
      </c>
      <c r="D13" s="581"/>
      <c r="E13" s="581"/>
      <c r="F13" s="581"/>
      <c r="G13" s="581"/>
      <c r="H13" s="581"/>
      <c r="I13" s="581"/>
      <c r="J13" s="581"/>
      <c r="K13" s="581"/>
      <c r="L13" s="581"/>
      <c r="M13" s="582"/>
      <c r="N13" s="577"/>
      <c r="O13" s="577" t="s">
        <v>585</v>
      </c>
      <c r="P13" s="577"/>
      <c r="Q13" s="577"/>
      <c r="R13" s="577"/>
      <c r="S13" s="577"/>
      <c r="T13" s="577"/>
      <c r="U13" s="577"/>
      <c r="V13" s="577"/>
      <c r="W13" s="577"/>
      <c r="X13" s="577"/>
      <c r="Y13" s="577"/>
      <c r="Z13" s="577"/>
      <c r="AA13" s="577"/>
      <c r="AB13" s="577"/>
      <c r="AC13" s="577"/>
      <c r="AD13" s="577"/>
      <c r="AE13" s="577"/>
      <c r="AF13" s="577"/>
      <c r="AG13" s="577"/>
      <c r="AH13" s="577"/>
      <c r="AI13" s="577"/>
      <c r="AJ13" s="577"/>
      <c r="AK13" s="577"/>
      <c r="AL13" s="577"/>
      <c r="AM13" s="577"/>
      <c r="AN13" s="577"/>
      <c r="AO13" s="577"/>
      <c r="AP13" s="577"/>
      <c r="AQ13" s="577"/>
      <c r="AR13" s="577"/>
      <c r="AS13" s="577"/>
      <c r="AT13" s="577"/>
      <c r="AU13" s="577"/>
      <c r="AV13" s="577"/>
      <c r="AW13" s="577"/>
      <c r="AX13" s="577"/>
      <c r="AY13" s="577"/>
      <c r="AZ13" s="577"/>
    </row>
    <row r="14" spans="1:52" ht="15.75" customHeight="1" thickBot="1" x14ac:dyDescent="0.25">
      <c r="A14" s="584"/>
      <c r="B14" s="608" t="s">
        <v>83</v>
      </c>
      <c r="C14" s="609" t="s">
        <v>572</v>
      </c>
      <c r="D14" s="581"/>
      <c r="E14" s="581"/>
      <c r="F14" s="581"/>
      <c r="G14" s="581"/>
      <c r="H14" s="581"/>
      <c r="I14" s="581"/>
      <c r="J14" s="581"/>
      <c r="K14" s="581"/>
      <c r="L14" s="581"/>
      <c r="M14" s="582"/>
      <c r="N14" s="577"/>
      <c r="O14" s="577" t="s">
        <v>61</v>
      </c>
      <c r="P14" s="625" t="s">
        <v>586</v>
      </c>
      <c r="Q14" s="625" t="s">
        <v>183</v>
      </c>
      <c r="R14" s="625" t="s">
        <v>184</v>
      </c>
      <c r="S14" s="625" t="s">
        <v>587</v>
      </c>
      <c r="T14" s="625" t="s">
        <v>588</v>
      </c>
      <c r="U14" s="577"/>
      <c r="V14" s="577"/>
      <c r="W14" s="577"/>
      <c r="X14" s="577"/>
      <c r="Y14" s="577"/>
      <c r="Z14" s="577"/>
      <c r="AA14" s="577"/>
      <c r="AB14" s="577"/>
      <c r="AC14" s="577"/>
      <c r="AD14" s="577"/>
      <c r="AE14" s="577"/>
      <c r="AF14" s="577"/>
      <c r="AG14" s="577"/>
      <c r="AH14" s="577"/>
      <c r="AI14" s="577"/>
      <c r="AJ14" s="577"/>
      <c r="AK14" s="577"/>
      <c r="AL14" s="577"/>
      <c r="AM14" s="577"/>
      <c r="AN14" s="577"/>
      <c r="AO14" s="577"/>
      <c r="AP14" s="577"/>
      <c r="AQ14" s="577"/>
      <c r="AR14" s="577"/>
      <c r="AS14" s="577"/>
      <c r="AT14" s="577"/>
      <c r="AU14" s="577"/>
      <c r="AV14" s="577"/>
      <c r="AW14" s="577"/>
      <c r="AX14" s="577"/>
      <c r="AY14" s="577"/>
      <c r="AZ14" s="577"/>
    </row>
    <row r="15" spans="1:52" ht="15.75" customHeight="1" x14ac:dyDescent="0.2">
      <c r="A15" s="584"/>
      <c r="B15" s="590">
        <v>2014</v>
      </c>
      <c r="C15" s="610">
        <v>196</v>
      </c>
      <c r="D15" s="581"/>
      <c r="E15" s="581"/>
      <c r="F15" s="581"/>
      <c r="G15" s="581"/>
      <c r="H15" s="581"/>
      <c r="I15" s="581"/>
      <c r="J15" s="581"/>
      <c r="K15" s="581"/>
      <c r="L15" s="581"/>
      <c r="M15" s="582"/>
      <c r="N15" s="577"/>
      <c r="O15" s="577">
        <v>17</v>
      </c>
      <c r="P15" s="577">
        <f>C11</f>
        <v>185</v>
      </c>
      <c r="Q15" s="621">
        <f>($C18-$C11)*((Q11-P11)/(1-$P11))</f>
        <v>7.0425666954599926</v>
      </c>
      <c r="R15" s="621">
        <f t="shared" ref="R15:S15" si="2">($C18-$C11)*((R11-Q11)/(1-$P11))</f>
        <v>5.0707334045814072</v>
      </c>
      <c r="S15" s="621">
        <f t="shared" si="2"/>
        <v>2.8866998999586002</v>
      </c>
      <c r="T15" s="621">
        <v>0</v>
      </c>
      <c r="U15" s="577"/>
      <c r="V15" s="577"/>
      <c r="W15" s="577"/>
      <c r="X15" s="577"/>
      <c r="Y15" s="577"/>
      <c r="Z15" s="577"/>
      <c r="AA15" s="577"/>
      <c r="AB15" s="577"/>
      <c r="AC15" s="577"/>
      <c r="AD15" s="577"/>
      <c r="AE15" s="577"/>
      <c r="AF15" s="577"/>
      <c r="AG15" s="577"/>
      <c r="AH15" s="577"/>
      <c r="AI15" s="577"/>
      <c r="AJ15" s="577"/>
      <c r="AK15" s="577"/>
      <c r="AL15" s="577"/>
      <c r="AM15" s="577"/>
      <c r="AN15" s="577"/>
      <c r="AO15" s="577"/>
      <c r="AP15" s="577"/>
      <c r="AQ15" s="577"/>
      <c r="AR15" s="577"/>
      <c r="AS15" s="577"/>
      <c r="AT15" s="577"/>
      <c r="AU15" s="577"/>
      <c r="AV15" s="577"/>
      <c r="AW15" s="577"/>
      <c r="AX15" s="577"/>
      <c r="AY15" s="577"/>
      <c r="AZ15" s="577"/>
    </row>
    <row r="16" spans="1:52" ht="15.75" customHeight="1" x14ac:dyDescent="0.2">
      <c r="A16" s="584"/>
      <c r="B16" s="595">
        <v>2015</v>
      </c>
      <c r="C16" s="611">
        <v>195</v>
      </c>
      <c r="D16" s="581"/>
      <c r="E16" s="581"/>
      <c r="F16" s="581"/>
      <c r="G16" s="581"/>
      <c r="H16" s="581"/>
      <c r="I16" s="581"/>
      <c r="J16" s="581"/>
      <c r="K16" s="581"/>
      <c r="L16" s="581"/>
      <c r="M16" s="582"/>
      <c r="N16" s="577"/>
      <c r="O16" s="577"/>
      <c r="P16" s="577"/>
      <c r="Q16" s="577"/>
      <c r="R16" s="577"/>
      <c r="S16" s="577"/>
      <c r="T16" s="577"/>
      <c r="U16" s="577"/>
      <c r="V16" s="577"/>
      <c r="W16" s="577"/>
      <c r="X16" s="577"/>
      <c r="Y16" s="577"/>
      <c r="Z16" s="577"/>
      <c r="AA16" s="577"/>
      <c r="AB16" s="577"/>
      <c r="AC16" s="577"/>
      <c r="AD16" s="577"/>
      <c r="AE16" s="577"/>
      <c r="AF16" s="577"/>
      <c r="AG16" s="577"/>
      <c r="AH16" s="577"/>
      <c r="AI16" s="577"/>
      <c r="AJ16" s="577"/>
      <c r="AK16" s="577"/>
      <c r="AL16" s="577"/>
      <c r="AM16" s="577"/>
      <c r="AN16" s="577"/>
      <c r="AO16" s="577"/>
      <c r="AP16" s="577"/>
      <c r="AQ16" s="577"/>
      <c r="AR16" s="577"/>
      <c r="AS16" s="577"/>
      <c r="AT16" s="577"/>
      <c r="AU16" s="577"/>
      <c r="AV16" s="577"/>
      <c r="AW16" s="577"/>
      <c r="AX16" s="577"/>
      <c r="AY16" s="577"/>
      <c r="AZ16" s="577"/>
    </row>
    <row r="17" spans="1:52" ht="15.75" customHeight="1" x14ac:dyDescent="0.2">
      <c r="A17" s="584"/>
      <c r="B17" s="595">
        <v>2016</v>
      </c>
      <c r="C17" s="611">
        <v>198</v>
      </c>
      <c r="D17" s="581"/>
      <c r="E17" s="581"/>
      <c r="F17" s="581"/>
      <c r="G17" s="581"/>
      <c r="H17" s="581"/>
      <c r="I17" s="581"/>
      <c r="J17" s="581"/>
      <c r="K17" s="581"/>
      <c r="L17" s="581"/>
      <c r="M17" s="582"/>
      <c r="N17" s="577"/>
      <c r="O17" s="577" t="s">
        <v>589</v>
      </c>
      <c r="P17" s="577"/>
      <c r="Q17" s="577"/>
      <c r="R17" s="577"/>
      <c r="S17" s="577"/>
      <c r="T17" s="577"/>
      <c r="U17" s="577"/>
      <c r="V17" s="577"/>
      <c r="W17" s="577"/>
      <c r="X17" s="577"/>
      <c r="Y17" s="577"/>
      <c r="Z17" s="577"/>
      <c r="AA17" s="577"/>
      <c r="AB17" s="577"/>
      <c r="AC17" s="577"/>
      <c r="AD17" s="577"/>
      <c r="AE17" s="577"/>
      <c r="AF17" s="577"/>
      <c r="AG17" s="577"/>
      <c r="AH17" s="577"/>
      <c r="AI17" s="577"/>
      <c r="AJ17" s="577"/>
      <c r="AK17" s="577"/>
      <c r="AL17" s="577"/>
      <c r="AM17" s="577"/>
      <c r="AN17" s="577"/>
      <c r="AO17" s="577"/>
      <c r="AP17" s="577"/>
      <c r="AQ17" s="577"/>
      <c r="AR17" s="577"/>
      <c r="AS17" s="577"/>
      <c r="AT17" s="577"/>
      <c r="AU17" s="577"/>
      <c r="AV17" s="577"/>
      <c r="AW17" s="577"/>
      <c r="AX17" s="577"/>
      <c r="AY17" s="577"/>
      <c r="AZ17" s="577"/>
    </row>
    <row r="18" spans="1:52" ht="15.75" customHeight="1" thickBot="1" x14ac:dyDescent="0.25">
      <c r="A18" s="584"/>
      <c r="B18" s="601">
        <v>2017</v>
      </c>
      <c r="C18" s="612">
        <v>200</v>
      </c>
      <c r="D18" s="581"/>
      <c r="E18" s="581"/>
      <c r="F18" s="581"/>
      <c r="G18" s="581"/>
      <c r="H18" s="581"/>
      <c r="I18" s="581"/>
      <c r="J18" s="581"/>
      <c r="K18" s="581"/>
      <c r="L18" s="581"/>
      <c r="M18" s="582"/>
      <c r="N18" s="577"/>
      <c r="O18" s="577" t="s">
        <v>61</v>
      </c>
      <c r="P18" s="625" t="s">
        <v>183</v>
      </c>
      <c r="Q18" s="625" t="s">
        <v>184</v>
      </c>
      <c r="R18" s="625" t="s">
        <v>587</v>
      </c>
      <c r="S18" s="577"/>
      <c r="T18" s="577"/>
      <c r="U18" s="577"/>
      <c r="V18" s="577"/>
      <c r="W18" s="577"/>
      <c r="X18" s="577"/>
      <c r="Y18" s="577"/>
      <c r="Z18" s="577"/>
      <c r="AA18" s="577"/>
      <c r="AB18" s="577"/>
      <c r="AC18" s="577"/>
      <c r="AD18" s="577"/>
      <c r="AE18" s="577"/>
      <c r="AF18" s="577"/>
      <c r="AG18" s="577"/>
      <c r="AH18" s="577"/>
      <c r="AI18" s="577"/>
      <c r="AJ18" s="577"/>
      <c r="AK18" s="577"/>
      <c r="AL18" s="577"/>
      <c r="AM18" s="577"/>
      <c r="AN18" s="577"/>
      <c r="AO18" s="577"/>
      <c r="AP18" s="577"/>
      <c r="AQ18" s="577"/>
      <c r="AR18" s="577"/>
      <c r="AS18" s="577"/>
      <c r="AT18" s="577"/>
      <c r="AU18" s="577"/>
      <c r="AV18" s="577"/>
      <c r="AW18" s="577"/>
      <c r="AX18" s="577"/>
      <c r="AY18" s="577"/>
      <c r="AZ18" s="577"/>
    </row>
    <row r="19" spans="1:52" ht="15.75" customHeight="1" thickBot="1" x14ac:dyDescent="0.25">
      <c r="A19" s="584"/>
      <c r="B19" s="581"/>
      <c r="C19" s="581"/>
      <c r="D19" s="581"/>
      <c r="E19" s="581"/>
      <c r="F19" s="581"/>
      <c r="G19" s="581"/>
      <c r="H19" s="581"/>
      <c r="I19" s="581"/>
      <c r="J19" s="581"/>
      <c r="K19" s="581"/>
      <c r="L19" s="581"/>
      <c r="M19" s="582"/>
      <c r="N19" s="577"/>
      <c r="O19" s="577">
        <v>14</v>
      </c>
      <c r="P19" s="620">
        <f>J8*((1+$B$20)^3)</f>
        <v>13986.9056</v>
      </c>
      <c r="Q19" s="620">
        <f>K8*((1+$B$20)^3)</f>
        <v>19669.085999999999</v>
      </c>
      <c r="R19" s="620">
        <f>L8*((1+$B$20)^3)</f>
        <v>27318.174999999999</v>
      </c>
      <c r="S19" s="577"/>
      <c r="T19" s="577"/>
      <c r="U19" s="577"/>
      <c r="V19" s="577"/>
      <c r="W19" s="577"/>
      <c r="X19" s="577"/>
      <c r="Y19" s="577"/>
      <c r="Z19" s="577"/>
      <c r="AA19" s="577"/>
      <c r="AB19" s="577"/>
      <c r="AC19" s="577"/>
      <c r="AD19" s="577"/>
      <c r="AE19" s="577"/>
      <c r="AF19" s="577"/>
      <c r="AG19" s="577"/>
      <c r="AH19" s="577"/>
      <c r="AI19" s="577"/>
      <c r="AJ19" s="577"/>
      <c r="AK19" s="577"/>
      <c r="AL19" s="577"/>
      <c r="AM19" s="577"/>
      <c r="AN19" s="577"/>
      <c r="AO19" s="577"/>
      <c r="AP19" s="577"/>
      <c r="AQ19" s="577"/>
      <c r="AR19" s="577"/>
      <c r="AS19" s="577"/>
      <c r="AT19" s="577"/>
      <c r="AU19" s="577"/>
      <c r="AV19" s="577"/>
      <c r="AW19" s="577"/>
      <c r="AX19" s="577"/>
      <c r="AY19" s="577"/>
      <c r="AZ19" s="577"/>
    </row>
    <row r="20" spans="1:52" ht="15.75" customHeight="1" thickBot="1" x14ac:dyDescent="0.25">
      <c r="A20" s="584"/>
      <c r="B20" s="613">
        <v>0.03</v>
      </c>
      <c r="C20" s="614" t="s">
        <v>573</v>
      </c>
      <c r="D20" s="615"/>
      <c r="E20" s="581"/>
      <c r="F20" s="581"/>
      <c r="G20" s="581"/>
      <c r="H20" s="581"/>
      <c r="I20" s="581"/>
      <c r="J20" s="581"/>
      <c r="K20" s="581"/>
      <c r="L20" s="581"/>
      <c r="M20" s="582"/>
      <c r="N20" s="577"/>
      <c r="O20" s="577">
        <v>15</v>
      </c>
      <c r="P20" s="620">
        <f>J9*((1+$B$20)^2)</f>
        <v>13791.699999999999</v>
      </c>
      <c r="Q20" s="620">
        <f>K9*((1+$B$20)^2)</f>
        <v>19626.649999999998</v>
      </c>
      <c r="R20" s="620"/>
      <c r="S20" s="577"/>
      <c r="T20" s="577"/>
      <c r="U20" s="577"/>
      <c r="V20" s="577"/>
      <c r="W20" s="577"/>
      <c r="X20" s="577"/>
      <c r="Y20" s="577"/>
      <c r="Z20" s="577"/>
      <c r="AA20" s="577"/>
      <c r="AB20" s="577"/>
      <c r="AC20" s="577"/>
      <c r="AD20" s="577"/>
      <c r="AE20" s="577"/>
      <c r="AF20" s="577"/>
      <c r="AG20" s="577"/>
      <c r="AH20" s="577"/>
      <c r="AI20" s="577"/>
      <c r="AJ20" s="577"/>
      <c r="AK20" s="577"/>
      <c r="AL20" s="577"/>
      <c r="AM20" s="577"/>
      <c r="AN20" s="577"/>
      <c r="AO20" s="577"/>
      <c r="AP20" s="577"/>
      <c r="AQ20" s="577"/>
      <c r="AR20" s="577"/>
      <c r="AS20" s="577"/>
      <c r="AT20" s="577"/>
      <c r="AU20" s="577"/>
      <c r="AV20" s="577"/>
      <c r="AW20" s="577"/>
      <c r="AX20" s="577"/>
      <c r="AY20" s="577"/>
      <c r="AZ20" s="577"/>
    </row>
    <row r="21" spans="1:52" ht="15.75" customHeight="1" x14ac:dyDescent="0.2">
      <c r="A21" s="584"/>
      <c r="B21" s="569"/>
      <c r="C21" s="581"/>
      <c r="D21" s="581"/>
      <c r="E21" s="581"/>
      <c r="F21" s="581"/>
      <c r="G21" s="581"/>
      <c r="H21" s="581"/>
      <c r="I21" s="581"/>
      <c r="J21" s="581"/>
      <c r="K21" s="581"/>
      <c r="L21" s="581"/>
      <c r="M21" s="582"/>
      <c r="N21" s="577"/>
      <c r="O21" s="577">
        <v>16</v>
      </c>
      <c r="P21" s="620">
        <f>J10*((1+$B$20)^1)</f>
        <v>13853.5</v>
      </c>
      <c r="Q21" s="620"/>
      <c r="R21" s="620"/>
      <c r="S21" s="577"/>
      <c r="T21" s="577"/>
      <c r="U21" s="577"/>
      <c r="V21" s="577"/>
      <c r="W21" s="577"/>
      <c r="X21" s="577"/>
      <c r="Y21" s="577"/>
      <c r="Z21" s="577"/>
      <c r="AA21" s="577"/>
      <c r="AB21" s="577"/>
      <c r="AC21" s="577"/>
      <c r="AD21" s="577"/>
      <c r="AE21" s="577"/>
      <c r="AF21" s="577"/>
      <c r="AG21" s="577"/>
      <c r="AH21" s="577"/>
      <c r="AI21" s="577"/>
      <c r="AJ21" s="577"/>
      <c r="AK21" s="577"/>
      <c r="AL21" s="577"/>
      <c r="AM21" s="577"/>
      <c r="AN21" s="577"/>
      <c r="AO21" s="577"/>
      <c r="AP21" s="577"/>
      <c r="AQ21" s="577"/>
      <c r="AR21" s="577"/>
      <c r="AS21" s="577"/>
      <c r="AT21" s="577"/>
      <c r="AU21" s="577"/>
      <c r="AV21" s="577"/>
      <c r="AW21" s="577"/>
      <c r="AX21" s="577"/>
      <c r="AY21" s="577"/>
      <c r="AZ21" s="577"/>
    </row>
    <row r="22" spans="1:52" ht="15.75" customHeight="1" x14ac:dyDescent="0.2">
      <c r="A22" s="584"/>
      <c r="B22" s="569" t="s">
        <v>574</v>
      </c>
      <c r="C22" s="581"/>
      <c r="D22" s="581"/>
      <c r="E22" s="581"/>
      <c r="F22" s="581"/>
      <c r="G22" s="581"/>
      <c r="H22" s="581"/>
      <c r="I22" s="581"/>
      <c r="J22" s="581"/>
      <c r="K22" s="581"/>
      <c r="L22" s="581"/>
      <c r="M22" s="582"/>
      <c r="N22" s="577"/>
      <c r="O22" s="577"/>
      <c r="P22" s="620"/>
      <c r="Q22" s="620"/>
      <c r="R22" s="620"/>
      <c r="S22" s="577"/>
      <c r="T22" s="577"/>
      <c r="U22" s="577"/>
      <c r="V22" s="577"/>
      <c r="W22" s="577"/>
      <c r="X22" s="577"/>
      <c r="Y22" s="577"/>
      <c r="Z22" s="577"/>
      <c r="AA22" s="577"/>
      <c r="AB22" s="577"/>
      <c r="AC22" s="577"/>
      <c r="AD22" s="577"/>
      <c r="AE22" s="577"/>
      <c r="AF22" s="577"/>
      <c r="AG22" s="577"/>
      <c r="AH22" s="577"/>
      <c r="AI22" s="577"/>
      <c r="AJ22" s="577"/>
      <c r="AK22" s="577"/>
      <c r="AL22" s="577"/>
      <c r="AM22" s="577"/>
      <c r="AN22" s="577"/>
      <c r="AO22" s="577"/>
      <c r="AP22" s="577"/>
      <c r="AQ22" s="577"/>
      <c r="AR22" s="577"/>
      <c r="AS22" s="577"/>
      <c r="AT22" s="577"/>
      <c r="AU22" s="577"/>
      <c r="AV22" s="577"/>
      <c r="AW22" s="577"/>
      <c r="AX22" s="577"/>
      <c r="AY22" s="577"/>
      <c r="AZ22" s="577"/>
    </row>
    <row r="23" spans="1:52" ht="15.75" customHeight="1" x14ac:dyDescent="0.2">
      <c r="A23" s="584"/>
      <c r="B23" s="569" t="s">
        <v>575</v>
      </c>
      <c r="C23" s="581"/>
      <c r="D23" s="581"/>
      <c r="E23" s="581"/>
      <c r="F23" s="581"/>
      <c r="G23" s="581"/>
      <c r="H23" s="581"/>
      <c r="I23" s="581"/>
      <c r="J23" s="581"/>
      <c r="K23" s="581"/>
      <c r="L23" s="581"/>
      <c r="M23" s="582"/>
      <c r="N23" s="577"/>
      <c r="O23" s="577" t="s">
        <v>590</v>
      </c>
      <c r="P23" s="620">
        <f>AVERAGE(P19:P21)</f>
        <v>13877.368533333332</v>
      </c>
      <c r="Q23" s="620">
        <f>AVERAGE(Q19:Q21)</f>
        <v>19647.867999999999</v>
      </c>
      <c r="R23" s="620">
        <f>AVERAGE(R19:R21)</f>
        <v>27318.174999999999</v>
      </c>
      <c r="S23" s="577"/>
      <c r="T23" s="577"/>
      <c r="U23" s="577"/>
      <c r="V23" s="577"/>
      <c r="W23" s="577"/>
      <c r="X23" s="577"/>
      <c r="Y23" s="577"/>
      <c r="Z23" s="577"/>
      <c r="AA23" s="577"/>
      <c r="AB23" s="577"/>
      <c r="AC23" s="577"/>
      <c r="AD23" s="577"/>
      <c r="AE23" s="577"/>
      <c r="AF23" s="577"/>
      <c r="AG23" s="577"/>
      <c r="AH23" s="577"/>
      <c r="AI23" s="577"/>
      <c r="AJ23" s="577"/>
      <c r="AK23" s="577"/>
      <c r="AL23" s="577"/>
      <c r="AM23" s="577"/>
      <c r="AN23" s="577"/>
      <c r="AO23" s="577"/>
      <c r="AP23" s="577"/>
      <c r="AQ23" s="577"/>
      <c r="AR23" s="577"/>
      <c r="AS23" s="577"/>
      <c r="AT23" s="577"/>
      <c r="AU23" s="577"/>
      <c r="AV23" s="577"/>
      <c r="AW23" s="577"/>
      <c r="AX23" s="577"/>
      <c r="AY23" s="577"/>
      <c r="AZ23" s="577"/>
    </row>
    <row r="24" spans="1:52" ht="15.75" customHeight="1" x14ac:dyDescent="0.2">
      <c r="A24" s="584"/>
      <c r="B24" s="569"/>
      <c r="C24" s="581"/>
      <c r="D24" s="581"/>
      <c r="E24" s="581"/>
      <c r="F24" s="581"/>
      <c r="G24" s="581"/>
      <c r="H24" s="581"/>
      <c r="I24" s="581"/>
      <c r="J24" s="581"/>
      <c r="K24" s="581"/>
      <c r="L24" s="581"/>
      <c r="M24" s="582"/>
      <c r="N24" s="577"/>
      <c r="O24" s="625"/>
      <c r="P24" s="577"/>
      <c r="Q24" s="577"/>
      <c r="R24" s="577"/>
      <c r="S24" s="577"/>
      <c r="T24" s="577"/>
      <c r="U24" s="577"/>
      <c r="V24" s="577"/>
      <c r="W24" s="577"/>
      <c r="X24" s="577"/>
      <c r="Y24" s="577"/>
      <c r="Z24" s="577"/>
      <c r="AA24" s="577"/>
      <c r="AB24" s="577"/>
      <c r="AC24" s="577"/>
      <c r="AD24" s="577"/>
      <c r="AE24" s="577"/>
      <c r="AF24" s="577"/>
      <c r="AG24" s="577"/>
      <c r="AH24" s="577"/>
      <c r="AI24" s="577"/>
      <c r="AJ24" s="577"/>
      <c r="AK24" s="577"/>
      <c r="AL24" s="577"/>
      <c r="AM24" s="577"/>
      <c r="AN24" s="577"/>
      <c r="AO24" s="577"/>
      <c r="AP24" s="577"/>
      <c r="AQ24" s="577"/>
      <c r="AR24" s="577"/>
      <c r="AS24" s="577"/>
      <c r="AT24" s="577"/>
      <c r="AU24" s="577"/>
      <c r="AV24" s="577"/>
      <c r="AW24" s="577"/>
      <c r="AX24" s="577"/>
      <c r="AY24" s="577"/>
      <c r="AZ24" s="577"/>
    </row>
    <row r="25" spans="1:52" ht="15.75" customHeight="1" x14ac:dyDescent="0.2">
      <c r="A25" s="584"/>
      <c r="B25" s="569" t="s">
        <v>576</v>
      </c>
      <c r="C25" s="581"/>
      <c r="D25" s="581"/>
      <c r="E25" s="581"/>
      <c r="F25" s="581"/>
      <c r="G25" s="581"/>
      <c r="H25" s="581"/>
      <c r="I25" s="581"/>
      <c r="J25" s="581"/>
      <c r="K25" s="581"/>
      <c r="L25" s="581"/>
      <c r="M25" s="582"/>
      <c r="N25" s="577"/>
      <c r="O25" s="577" t="s">
        <v>591</v>
      </c>
      <c r="P25" s="577"/>
      <c r="Q25" s="577"/>
      <c r="R25" s="577"/>
      <c r="S25" s="577"/>
      <c r="T25" s="577"/>
      <c r="U25" s="577"/>
      <c r="V25" s="577"/>
      <c r="W25" s="577"/>
      <c r="X25" s="577"/>
      <c r="Y25" s="577"/>
      <c r="Z25" s="577"/>
      <c r="AA25" s="577"/>
      <c r="AB25" s="577"/>
      <c r="AC25" s="577"/>
      <c r="AD25" s="577"/>
      <c r="AE25" s="577"/>
      <c r="AF25" s="577"/>
      <c r="AG25" s="577"/>
      <c r="AH25" s="577"/>
      <c r="AI25" s="577"/>
      <c r="AJ25" s="577"/>
      <c r="AK25" s="577"/>
      <c r="AL25" s="577"/>
      <c r="AM25" s="577"/>
      <c r="AN25" s="577"/>
      <c r="AO25" s="577"/>
      <c r="AP25" s="577"/>
      <c r="AQ25" s="577"/>
      <c r="AR25" s="577"/>
      <c r="AS25" s="577"/>
      <c r="AT25" s="577"/>
      <c r="AU25" s="577"/>
      <c r="AV25" s="577"/>
      <c r="AW25" s="577"/>
      <c r="AX25" s="577"/>
      <c r="AY25" s="577"/>
      <c r="AZ25" s="577"/>
    </row>
    <row r="26" spans="1:52" ht="15.75" customHeight="1" thickBot="1" x14ac:dyDescent="0.25">
      <c r="A26" s="616"/>
      <c r="B26" s="617"/>
      <c r="C26" s="617"/>
      <c r="D26" s="617"/>
      <c r="E26" s="617"/>
      <c r="F26" s="617"/>
      <c r="G26" s="617"/>
      <c r="H26" s="617"/>
      <c r="I26" s="617"/>
      <c r="J26" s="617"/>
      <c r="K26" s="617"/>
      <c r="L26" s="617"/>
      <c r="M26" s="618"/>
      <c r="N26" s="577"/>
      <c r="O26" s="577" t="s">
        <v>61</v>
      </c>
      <c r="P26" s="625" t="s">
        <v>586</v>
      </c>
      <c r="Q26" s="625" t="s">
        <v>183</v>
      </c>
      <c r="R26" s="625" t="s">
        <v>184</v>
      </c>
      <c r="S26" s="625" t="s">
        <v>587</v>
      </c>
      <c r="T26" s="625"/>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row>
    <row r="27" spans="1:52" ht="15.75" customHeight="1" x14ac:dyDescent="0.2">
      <c r="A27" s="577"/>
      <c r="B27" s="577"/>
      <c r="C27" s="577"/>
      <c r="D27" s="577"/>
      <c r="E27" s="577"/>
      <c r="F27" s="577"/>
      <c r="G27" s="577"/>
      <c r="H27" s="577"/>
      <c r="I27" s="577"/>
      <c r="J27" s="577"/>
      <c r="K27" s="577"/>
      <c r="L27" s="577"/>
      <c r="M27" s="577"/>
      <c r="N27" s="577"/>
      <c r="O27" s="577">
        <v>17</v>
      </c>
      <c r="P27" s="620">
        <f>C11*I11</f>
        <v>1470750</v>
      </c>
      <c r="Q27" s="620">
        <f>P23*Q15</f>
        <v>97732.293453477818</v>
      </c>
      <c r="R27" s="620">
        <f>Q23*R15</f>
        <v>99629.100596406075</v>
      </c>
      <c r="S27" s="620">
        <f>R23*S15</f>
        <v>78859.37303955153</v>
      </c>
      <c r="T27" s="577"/>
      <c r="U27" s="577"/>
      <c r="V27" s="577"/>
      <c r="W27" s="577"/>
      <c r="X27" s="577"/>
      <c r="Y27" s="577"/>
      <c r="Z27" s="577"/>
      <c r="AA27" s="577"/>
      <c r="AB27" s="577"/>
      <c r="AC27" s="577"/>
      <c r="AD27" s="577"/>
      <c r="AE27" s="577"/>
      <c r="AF27" s="577"/>
      <c r="AG27" s="577"/>
      <c r="AH27" s="577"/>
      <c r="AI27" s="577"/>
      <c r="AJ27" s="577"/>
      <c r="AK27" s="577"/>
      <c r="AL27" s="577"/>
      <c r="AM27" s="577"/>
      <c r="AN27" s="577"/>
      <c r="AO27" s="577"/>
      <c r="AP27" s="577"/>
      <c r="AQ27" s="577"/>
      <c r="AR27" s="577"/>
      <c r="AS27" s="577"/>
      <c r="AT27" s="577"/>
      <c r="AU27" s="577"/>
      <c r="AV27" s="577"/>
      <c r="AW27" s="577"/>
      <c r="AX27" s="577"/>
      <c r="AY27" s="577"/>
      <c r="AZ27" s="577"/>
    </row>
    <row r="28" spans="1:52" ht="15.75" customHeight="1" x14ac:dyDescent="0.2">
      <c r="A28" s="577"/>
      <c r="B28" s="577"/>
      <c r="C28" s="577"/>
      <c r="D28" s="577"/>
      <c r="E28" s="577"/>
      <c r="F28" s="577"/>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7"/>
      <c r="AO28" s="577"/>
      <c r="AP28" s="577"/>
      <c r="AQ28" s="577"/>
      <c r="AR28" s="577"/>
      <c r="AS28" s="577"/>
      <c r="AT28" s="577"/>
      <c r="AU28" s="577"/>
      <c r="AV28" s="577"/>
      <c r="AW28" s="577"/>
      <c r="AX28" s="577"/>
      <c r="AY28" s="577"/>
      <c r="AZ28" s="577"/>
    </row>
    <row r="29" spans="1:52" ht="15.75" customHeight="1" x14ac:dyDescent="0.2">
      <c r="A29" s="577"/>
      <c r="B29" s="577"/>
      <c r="C29" s="577"/>
      <c r="D29" s="577"/>
      <c r="E29" s="577"/>
      <c r="F29" s="577"/>
      <c r="G29" s="577"/>
      <c r="H29" s="577"/>
      <c r="I29" s="577"/>
      <c r="J29" s="577"/>
      <c r="K29" s="577"/>
      <c r="L29" s="577"/>
      <c r="M29" s="577"/>
      <c r="N29" s="577"/>
      <c r="O29" s="577" t="s">
        <v>592</v>
      </c>
      <c r="P29" s="577"/>
      <c r="Q29" s="620">
        <f>SUM(Q27:S27)</f>
        <v>276220.76708943542</v>
      </c>
      <c r="R29" s="577"/>
      <c r="S29" s="577"/>
      <c r="T29" s="577"/>
      <c r="U29" s="577"/>
      <c r="V29" s="577"/>
      <c r="W29" s="577"/>
      <c r="X29" s="577"/>
      <c r="Y29" s="577"/>
      <c r="Z29" s="577"/>
      <c r="AA29" s="577"/>
      <c r="AB29" s="577"/>
      <c r="AC29" s="577"/>
      <c r="AD29" s="577"/>
      <c r="AE29" s="577"/>
      <c r="AF29" s="577"/>
      <c r="AG29" s="577"/>
      <c r="AH29" s="577"/>
      <c r="AI29" s="577"/>
      <c r="AJ29" s="577"/>
      <c r="AK29" s="577"/>
      <c r="AL29" s="577"/>
      <c r="AM29" s="577"/>
      <c r="AN29" s="577"/>
      <c r="AO29" s="577"/>
      <c r="AP29" s="577"/>
      <c r="AQ29" s="577"/>
      <c r="AR29" s="577"/>
      <c r="AS29" s="577"/>
      <c r="AT29" s="577"/>
      <c r="AU29" s="577"/>
      <c r="AV29" s="577"/>
      <c r="AW29" s="577"/>
      <c r="AX29" s="577"/>
      <c r="AY29" s="577"/>
      <c r="AZ29" s="577"/>
    </row>
    <row r="30" spans="1:52" ht="15.75" customHeight="1" x14ac:dyDescent="0.2">
      <c r="A30" s="577"/>
      <c r="B30" s="577"/>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577"/>
      <c r="AJ30" s="577"/>
      <c r="AK30" s="577"/>
      <c r="AL30" s="577"/>
      <c r="AM30" s="577"/>
      <c r="AN30" s="577"/>
      <c r="AO30" s="577"/>
      <c r="AP30" s="577"/>
      <c r="AQ30" s="577"/>
      <c r="AR30" s="577"/>
      <c r="AS30" s="577"/>
      <c r="AT30" s="577"/>
      <c r="AU30" s="577"/>
      <c r="AV30" s="577"/>
      <c r="AW30" s="577"/>
      <c r="AX30" s="577"/>
      <c r="AY30" s="577"/>
      <c r="AZ30" s="577"/>
    </row>
    <row r="31" spans="1:52" ht="15.75" customHeight="1" x14ac:dyDescent="0.2">
      <c r="A31" s="577"/>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row>
    <row r="32" spans="1:52" ht="15.75" customHeight="1" x14ac:dyDescent="0.2">
      <c r="A32" s="577"/>
      <c r="B32" s="577"/>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577"/>
      <c r="AJ32" s="577"/>
      <c r="AK32" s="577"/>
      <c r="AL32" s="577"/>
      <c r="AM32" s="577"/>
      <c r="AN32" s="577"/>
      <c r="AO32" s="577"/>
      <c r="AP32" s="577"/>
      <c r="AQ32" s="577"/>
      <c r="AR32" s="577"/>
      <c r="AS32" s="577"/>
      <c r="AT32" s="577"/>
      <c r="AU32" s="577"/>
      <c r="AV32" s="577"/>
      <c r="AW32" s="577"/>
      <c r="AX32" s="577"/>
      <c r="AY32" s="577"/>
      <c r="AZ32" s="577"/>
    </row>
    <row r="33" spans="1:52" ht="15.75" customHeight="1" x14ac:dyDescent="0.2">
      <c r="A33" s="577"/>
      <c r="B33" s="577"/>
      <c r="C33" s="577"/>
      <c r="D33" s="577"/>
      <c r="E33" s="577"/>
      <c r="F33" s="577"/>
      <c r="G33" s="577"/>
      <c r="H33" s="577"/>
      <c r="I33" s="577"/>
      <c r="J33" s="577"/>
      <c r="K33" s="577"/>
      <c r="L33" s="577"/>
      <c r="M33" s="577"/>
      <c r="N33" s="577"/>
      <c r="O33" s="577"/>
      <c r="P33" s="577"/>
      <c r="Q33" s="577"/>
      <c r="R33" s="577"/>
      <c r="S33" s="577"/>
      <c r="T33" s="577"/>
      <c r="U33" s="577"/>
      <c r="V33" s="577"/>
      <c r="W33" s="577"/>
      <c r="X33" s="577"/>
      <c r="Y33" s="577"/>
      <c r="Z33" s="577"/>
      <c r="AA33" s="577"/>
      <c r="AB33" s="577"/>
      <c r="AC33" s="577"/>
      <c r="AD33" s="577"/>
      <c r="AE33" s="577"/>
      <c r="AF33" s="577"/>
      <c r="AG33" s="577"/>
      <c r="AH33" s="577"/>
      <c r="AI33" s="577"/>
      <c r="AJ33" s="577"/>
      <c r="AK33" s="577"/>
      <c r="AL33" s="577"/>
      <c r="AM33" s="577"/>
      <c r="AN33" s="577"/>
      <c r="AO33" s="577"/>
      <c r="AP33" s="577"/>
      <c r="AQ33" s="577"/>
      <c r="AR33" s="577"/>
      <c r="AS33" s="577"/>
      <c r="AT33" s="577"/>
      <c r="AU33" s="577"/>
      <c r="AV33" s="577"/>
      <c r="AW33" s="577"/>
      <c r="AX33" s="577"/>
      <c r="AY33" s="577"/>
      <c r="AZ33" s="577"/>
    </row>
    <row r="34" spans="1:52" ht="15.75" customHeight="1" x14ac:dyDescent="0.2">
      <c r="A34" s="577"/>
      <c r="B34" s="577"/>
      <c r="C34" s="577"/>
      <c r="D34" s="577"/>
      <c r="E34" s="577"/>
      <c r="F34" s="577"/>
      <c r="G34" s="577"/>
      <c r="H34" s="577"/>
      <c r="I34" s="577"/>
      <c r="J34" s="577"/>
      <c r="K34" s="577"/>
      <c r="L34" s="577"/>
      <c r="M34" s="577"/>
      <c r="N34" s="577"/>
      <c r="O34" s="577"/>
      <c r="P34" s="577"/>
      <c r="Q34" s="577"/>
      <c r="R34" s="577"/>
      <c r="S34" s="577"/>
      <c r="T34" s="577"/>
      <c r="U34" s="577"/>
      <c r="V34" s="577"/>
      <c r="W34" s="577"/>
      <c r="X34" s="577"/>
      <c r="Y34" s="577"/>
      <c r="Z34" s="577"/>
      <c r="AA34" s="577"/>
      <c r="AB34" s="577"/>
      <c r="AC34" s="577"/>
      <c r="AD34" s="577"/>
      <c r="AE34" s="577"/>
      <c r="AF34" s="577"/>
      <c r="AG34" s="577"/>
      <c r="AH34" s="577"/>
      <c r="AI34" s="577"/>
      <c r="AJ34" s="577"/>
      <c r="AK34" s="577"/>
      <c r="AL34" s="577"/>
      <c r="AM34" s="577"/>
      <c r="AN34" s="577"/>
      <c r="AO34" s="577"/>
      <c r="AP34" s="577"/>
      <c r="AQ34" s="577"/>
      <c r="AR34" s="577"/>
      <c r="AS34" s="577"/>
      <c r="AT34" s="577"/>
      <c r="AU34" s="577"/>
      <c r="AV34" s="577"/>
      <c r="AW34" s="577"/>
      <c r="AX34" s="577"/>
      <c r="AY34" s="577"/>
      <c r="AZ34" s="577"/>
    </row>
    <row r="35" spans="1:52" ht="15.75" customHeight="1" x14ac:dyDescent="0.2">
      <c r="A35" s="577"/>
      <c r="B35" s="577"/>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577"/>
      <c r="AJ35" s="577"/>
      <c r="AK35" s="577"/>
      <c r="AL35" s="577"/>
      <c r="AM35" s="577"/>
      <c r="AN35" s="577"/>
      <c r="AO35" s="577"/>
      <c r="AP35" s="577"/>
      <c r="AQ35" s="577"/>
      <c r="AR35" s="577"/>
      <c r="AS35" s="577"/>
      <c r="AT35" s="577"/>
      <c r="AU35" s="577"/>
      <c r="AV35" s="577"/>
      <c r="AW35" s="577"/>
      <c r="AX35" s="577"/>
      <c r="AY35" s="577"/>
      <c r="AZ35" s="577"/>
    </row>
    <row r="36" spans="1:52" ht="15.75" customHeight="1" x14ac:dyDescent="0.2">
      <c r="A36" s="577"/>
      <c r="B36" s="577"/>
      <c r="C36" s="577"/>
      <c r="D36" s="577"/>
      <c r="E36" s="577"/>
      <c r="F36" s="577"/>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577"/>
      <c r="AJ36" s="577"/>
      <c r="AK36" s="577"/>
      <c r="AL36" s="577"/>
      <c r="AM36" s="577"/>
      <c r="AN36" s="577"/>
      <c r="AO36" s="577"/>
      <c r="AP36" s="577"/>
      <c r="AQ36" s="577"/>
      <c r="AR36" s="577"/>
      <c r="AS36" s="577"/>
      <c r="AT36" s="577"/>
      <c r="AU36" s="577"/>
      <c r="AV36" s="577"/>
      <c r="AW36" s="577"/>
      <c r="AX36" s="577"/>
      <c r="AY36" s="577"/>
      <c r="AZ36" s="577"/>
    </row>
    <row r="37" spans="1:52" ht="15.75" customHeight="1" x14ac:dyDescent="0.2">
      <c r="A37" s="577"/>
      <c r="B37" s="577"/>
      <c r="C37" s="577"/>
      <c r="D37" s="577"/>
      <c r="E37" s="577"/>
      <c r="F37" s="577"/>
      <c r="G37" s="577"/>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577"/>
      <c r="AJ37" s="577"/>
      <c r="AK37" s="577"/>
      <c r="AL37" s="577"/>
      <c r="AM37" s="577"/>
      <c r="AN37" s="577"/>
      <c r="AO37" s="577"/>
      <c r="AP37" s="577"/>
      <c r="AQ37" s="577"/>
      <c r="AR37" s="577"/>
      <c r="AS37" s="577"/>
      <c r="AT37" s="577"/>
      <c r="AU37" s="577"/>
      <c r="AV37" s="577"/>
      <c r="AW37" s="577"/>
      <c r="AX37" s="577"/>
      <c r="AY37" s="577"/>
      <c r="AZ37" s="577"/>
    </row>
    <row r="38" spans="1:52" ht="15.75" customHeight="1" x14ac:dyDescent="0.2">
      <c r="A38" s="577"/>
      <c r="B38" s="577"/>
      <c r="C38" s="577"/>
      <c r="D38" s="577"/>
      <c r="E38" s="577"/>
      <c r="F38" s="577"/>
      <c r="G38" s="577"/>
      <c r="H38" s="577"/>
      <c r="I38" s="577"/>
      <c r="J38" s="577"/>
      <c r="K38" s="577"/>
      <c r="L38" s="57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577"/>
      <c r="AJ38" s="577"/>
      <c r="AK38" s="577"/>
      <c r="AL38" s="577"/>
      <c r="AM38" s="577"/>
      <c r="AN38" s="577"/>
      <c r="AO38" s="577"/>
      <c r="AP38" s="577"/>
      <c r="AQ38" s="577"/>
      <c r="AR38" s="577"/>
      <c r="AS38" s="577"/>
      <c r="AT38" s="577"/>
      <c r="AU38" s="577"/>
      <c r="AV38" s="577"/>
      <c r="AW38" s="577"/>
      <c r="AX38" s="577"/>
      <c r="AY38" s="577"/>
      <c r="AZ38" s="577"/>
    </row>
    <row r="39" spans="1:52" ht="15.75" customHeight="1" x14ac:dyDescent="0.2">
      <c r="A39" s="577"/>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577"/>
      <c r="AJ39" s="577"/>
      <c r="AK39" s="577"/>
      <c r="AL39" s="577"/>
      <c r="AM39" s="577"/>
      <c r="AN39" s="577"/>
      <c r="AO39" s="577"/>
      <c r="AP39" s="577"/>
      <c r="AQ39" s="577"/>
      <c r="AR39" s="577"/>
      <c r="AS39" s="577"/>
      <c r="AT39" s="577"/>
      <c r="AU39" s="577"/>
      <c r="AV39" s="577"/>
      <c r="AW39" s="577"/>
      <c r="AX39" s="577"/>
      <c r="AY39" s="577"/>
      <c r="AZ39" s="577"/>
    </row>
    <row r="40" spans="1:52" ht="15.75" customHeight="1" x14ac:dyDescent="0.2">
      <c r="A40" s="577"/>
      <c r="B40" s="577"/>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577"/>
      <c r="AJ40" s="577"/>
      <c r="AK40" s="577"/>
      <c r="AL40" s="577"/>
      <c r="AM40" s="577"/>
      <c r="AN40" s="577"/>
      <c r="AO40" s="577"/>
      <c r="AP40" s="577"/>
      <c r="AQ40" s="577"/>
      <c r="AR40" s="577"/>
      <c r="AS40" s="577"/>
      <c r="AT40" s="577"/>
      <c r="AU40" s="577"/>
      <c r="AV40" s="577"/>
      <c r="AW40" s="577"/>
      <c r="AX40" s="577"/>
      <c r="AY40" s="577"/>
      <c r="AZ40" s="577"/>
    </row>
    <row r="41" spans="1:52" ht="15.75" customHeight="1" x14ac:dyDescent="0.2">
      <c r="A41" s="577"/>
      <c r="B41" s="577"/>
      <c r="C41" s="577"/>
      <c r="D41" s="577"/>
      <c r="E41" s="577"/>
      <c r="F41" s="577"/>
      <c r="G41" s="577"/>
      <c r="H41" s="577"/>
      <c r="I41" s="577"/>
      <c r="J41" s="577"/>
      <c r="K41" s="577"/>
      <c r="L41" s="577"/>
      <c r="M41" s="577"/>
      <c r="N41" s="577"/>
      <c r="O41" s="577"/>
      <c r="P41" s="577"/>
      <c r="Q41" s="577"/>
      <c r="R41" s="577"/>
      <c r="S41" s="577"/>
      <c r="T41" s="577"/>
      <c r="U41" s="577"/>
      <c r="V41" s="577"/>
      <c r="W41" s="577"/>
      <c r="X41" s="577"/>
      <c r="Y41" s="577"/>
      <c r="Z41" s="577"/>
      <c r="AA41" s="577"/>
      <c r="AB41" s="577"/>
      <c r="AC41" s="577"/>
      <c r="AD41" s="577"/>
      <c r="AE41" s="577"/>
      <c r="AF41" s="577"/>
      <c r="AG41" s="577"/>
      <c r="AH41" s="577"/>
      <c r="AI41" s="577"/>
      <c r="AJ41" s="577"/>
      <c r="AK41" s="577"/>
      <c r="AL41" s="577"/>
      <c r="AM41" s="577"/>
      <c r="AN41" s="577"/>
      <c r="AO41" s="577"/>
      <c r="AP41" s="577"/>
      <c r="AQ41" s="577"/>
      <c r="AR41" s="577"/>
      <c r="AS41" s="577"/>
      <c r="AT41" s="577"/>
      <c r="AU41" s="577"/>
      <c r="AV41" s="577"/>
      <c r="AW41" s="577"/>
      <c r="AX41" s="577"/>
      <c r="AY41" s="577"/>
      <c r="AZ41" s="577"/>
    </row>
    <row r="42" spans="1:52" ht="15.75" customHeight="1" x14ac:dyDescent="0.2">
      <c r="A42" s="577"/>
      <c r="B42" s="577"/>
      <c r="C42" s="577"/>
      <c r="D42" s="577"/>
      <c r="E42" s="577"/>
      <c r="F42" s="577"/>
      <c r="G42" s="577"/>
      <c r="H42" s="577"/>
      <c r="I42" s="577"/>
      <c r="J42" s="577"/>
      <c r="K42" s="577"/>
      <c r="L42" s="577"/>
      <c r="M42" s="577"/>
      <c r="N42" s="577"/>
      <c r="O42" s="577"/>
      <c r="P42" s="577"/>
      <c r="Q42" s="577"/>
      <c r="R42" s="577"/>
      <c r="S42" s="577"/>
      <c r="T42" s="577"/>
      <c r="U42" s="577"/>
      <c r="V42" s="577"/>
      <c r="W42" s="577"/>
      <c r="X42" s="577"/>
      <c r="Y42" s="577"/>
      <c r="Z42" s="577"/>
      <c r="AA42" s="577"/>
      <c r="AB42" s="577"/>
      <c r="AC42" s="577"/>
      <c r="AD42" s="577"/>
      <c r="AE42" s="577"/>
      <c r="AF42" s="577"/>
      <c r="AG42" s="577"/>
      <c r="AH42" s="577"/>
      <c r="AI42" s="577"/>
      <c r="AJ42" s="577"/>
      <c r="AK42" s="577"/>
      <c r="AL42" s="577"/>
      <c r="AM42" s="577"/>
      <c r="AN42" s="577"/>
      <c r="AO42" s="577"/>
      <c r="AP42" s="577"/>
      <c r="AQ42" s="577"/>
      <c r="AR42" s="577"/>
      <c r="AS42" s="577"/>
      <c r="AT42" s="577"/>
      <c r="AU42" s="577"/>
      <c r="AV42" s="577"/>
      <c r="AW42" s="577"/>
      <c r="AX42" s="577"/>
      <c r="AY42" s="577"/>
      <c r="AZ42" s="577"/>
    </row>
    <row r="43" spans="1:52" ht="15.75" customHeight="1" x14ac:dyDescent="0.2">
      <c r="A43" s="577"/>
      <c r="B43" s="577"/>
      <c r="C43" s="577"/>
      <c r="D43" s="577"/>
      <c r="E43" s="577"/>
      <c r="F43" s="577"/>
      <c r="G43" s="577"/>
      <c r="H43" s="577"/>
      <c r="I43" s="577"/>
      <c r="J43" s="577"/>
      <c r="K43" s="577"/>
      <c r="L43" s="577"/>
      <c r="M43" s="577"/>
      <c r="N43" s="577"/>
      <c r="O43" s="577"/>
      <c r="P43" s="577"/>
      <c r="Q43" s="577"/>
      <c r="R43" s="577"/>
      <c r="S43" s="577"/>
      <c r="T43" s="577"/>
      <c r="U43" s="577"/>
      <c r="V43" s="577"/>
      <c r="W43" s="577"/>
      <c r="X43" s="577"/>
      <c r="Y43" s="577"/>
      <c r="Z43" s="577"/>
      <c r="AA43" s="577"/>
      <c r="AB43" s="577"/>
      <c r="AC43" s="577"/>
      <c r="AD43" s="577"/>
      <c r="AE43" s="577"/>
      <c r="AF43" s="577"/>
      <c r="AG43" s="577"/>
      <c r="AH43" s="577"/>
      <c r="AI43" s="577"/>
      <c r="AJ43" s="577"/>
      <c r="AK43" s="577"/>
      <c r="AL43" s="577"/>
      <c r="AM43" s="577"/>
      <c r="AN43" s="577"/>
      <c r="AO43" s="577"/>
      <c r="AP43" s="577"/>
      <c r="AQ43" s="577"/>
      <c r="AR43" s="577"/>
      <c r="AS43" s="577"/>
      <c r="AT43" s="577"/>
      <c r="AU43" s="577"/>
      <c r="AV43" s="577"/>
      <c r="AW43" s="577"/>
      <c r="AX43" s="577"/>
      <c r="AY43" s="577"/>
      <c r="AZ43" s="577"/>
    </row>
    <row r="44" spans="1:52" ht="15.75" customHeight="1" x14ac:dyDescent="0.2">
      <c r="A44" s="577"/>
      <c r="B44" s="577"/>
      <c r="C44" s="577"/>
      <c r="D44" s="577"/>
      <c r="E44" s="577"/>
      <c r="F44" s="577"/>
      <c r="G44" s="577"/>
      <c r="H44" s="577"/>
      <c r="I44" s="577"/>
      <c r="J44" s="577"/>
      <c r="K44" s="577"/>
      <c r="L44" s="577"/>
      <c r="M44" s="577"/>
      <c r="N44" s="577"/>
      <c r="O44" s="577"/>
      <c r="P44" s="577"/>
      <c r="Q44" s="577"/>
      <c r="R44" s="577"/>
      <c r="S44" s="577"/>
      <c r="T44" s="577"/>
      <c r="U44" s="577"/>
      <c r="V44" s="577"/>
      <c r="W44" s="577"/>
      <c r="X44" s="577"/>
      <c r="Y44" s="577"/>
      <c r="Z44" s="577"/>
      <c r="AA44" s="577"/>
      <c r="AB44" s="577"/>
      <c r="AC44" s="577"/>
      <c r="AD44" s="577"/>
      <c r="AE44" s="577"/>
      <c r="AF44" s="577"/>
      <c r="AG44" s="577"/>
      <c r="AH44" s="577"/>
      <c r="AI44" s="577"/>
      <c r="AJ44" s="577"/>
      <c r="AK44" s="577"/>
      <c r="AL44" s="577"/>
      <c r="AM44" s="577"/>
      <c r="AN44" s="577"/>
      <c r="AO44" s="577"/>
      <c r="AP44" s="577"/>
      <c r="AQ44" s="577"/>
      <c r="AR44" s="577"/>
      <c r="AS44" s="577"/>
      <c r="AT44" s="577"/>
      <c r="AU44" s="577"/>
      <c r="AV44" s="577"/>
      <c r="AW44" s="577"/>
      <c r="AX44" s="577"/>
      <c r="AY44" s="577"/>
      <c r="AZ44" s="577"/>
    </row>
    <row r="45" spans="1:52" ht="15.75" customHeight="1" x14ac:dyDescent="0.2">
      <c r="A45" s="577"/>
      <c r="B45" s="577"/>
      <c r="C45" s="577"/>
      <c r="D45" s="577"/>
      <c r="E45" s="577"/>
      <c r="F45" s="577"/>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577"/>
      <c r="AJ45" s="577"/>
      <c r="AK45" s="577"/>
      <c r="AL45" s="577"/>
      <c r="AM45" s="577"/>
      <c r="AN45" s="577"/>
      <c r="AO45" s="577"/>
      <c r="AP45" s="577"/>
      <c r="AQ45" s="577"/>
      <c r="AR45" s="577"/>
      <c r="AS45" s="577"/>
      <c r="AT45" s="577"/>
      <c r="AU45" s="577"/>
      <c r="AV45" s="577"/>
      <c r="AW45" s="577"/>
      <c r="AX45" s="577"/>
      <c r="AY45" s="577"/>
      <c r="AZ45" s="577"/>
    </row>
    <row r="46" spans="1:52" ht="15.75" customHeight="1" x14ac:dyDescent="0.2">
      <c r="A46" s="577"/>
      <c r="B46" s="577"/>
      <c r="C46" s="577"/>
      <c r="D46" s="577"/>
      <c r="E46" s="577"/>
      <c r="F46" s="577"/>
      <c r="G46" s="577"/>
      <c r="H46" s="577"/>
      <c r="I46" s="577"/>
      <c r="J46" s="577"/>
      <c r="K46" s="577"/>
      <c r="L46" s="577"/>
      <c r="M46" s="577"/>
      <c r="N46" s="577"/>
      <c r="O46" s="577"/>
      <c r="P46" s="577"/>
      <c r="Q46" s="577"/>
      <c r="R46" s="577"/>
      <c r="S46" s="577"/>
      <c r="T46" s="577"/>
      <c r="U46" s="577"/>
      <c r="V46" s="577"/>
      <c r="W46" s="577"/>
      <c r="X46" s="577"/>
      <c r="Y46" s="577"/>
      <c r="Z46" s="577"/>
      <c r="AA46" s="577"/>
      <c r="AB46" s="577"/>
      <c r="AC46" s="577"/>
      <c r="AD46" s="577"/>
      <c r="AE46" s="577"/>
      <c r="AF46" s="577"/>
      <c r="AG46" s="577"/>
      <c r="AH46" s="577"/>
      <c r="AI46" s="577"/>
      <c r="AJ46" s="577"/>
      <c r="AK46" s="577"/>
      <c r="AL46" s="577"/>
      <c r="AM46" s="577"/>
      <c r="AN46" s="577"/>
      <c r="AO46" s="577"/>
      <c r="AP46" s="577"/>
      <c r="AQ46" s="577"/>
      <c r="AR46" s="577"/>
      <c r="AS46" s="577"/>
      <c r="AT46" s="577"/>
      <c r="AU46" s="577"/>
      <c r="AV46" s="577"/>
      <c r="AW46" s="577"/>
      <c r="AX46" s="577"/>
      <c r="AY46" s="577"/>
      <c r="AZ46" s="577"/>
    </row>
    <row r="47" spans="1:52" ht="15.75" customHeight="1" x14ac:dyDescent="0.2">
      <c r="A47" s="577"/>
      <c r="B47" s="577"/>
      <c r="C47" s="577"/>
      <c r="D47" s="577"/>
      <c r="E47" s="577"/>
      <c r="F47" s="577"/>
      <c r="G47" s="577"/>
      <c r="H47" s="577"/>
      <c r="I47" s="577"/>
      <c r="J47" s="577"/>
      <c r="K47" s="577"/>
      <c r="L47" s="577"/>
      <c r="M47" s="577"/>
      <c r="N47" s="577"/>
      <c r="O47" s="577"/>
      <c r="P47" s="577"/>
      <c r="Q47" s="577"/>
      <c r="R47" s="577"/>
      <c r="S47" s="577"/>
      <c r="T47" s="577"/>
      <c r="U47" s="577"/>
      <c r="V47" s="577"/>
      <c r="W47" s="577"/>
      <c r="X47" s="577"/>
      <c r="Y47" s="577"/>
      <c r="Z47" s="577"/>
      <c r="AA47" s="577"/>
      <c r="AB47" s="577"/>
      <c r="AC47" s="577"/>
      <c r="AD47" s="577"/>
      <c r="AE47" s="577"/>
      <c r="AF47" s="577"/>
      <c r="AG47" s="577"/>
      <c r="AH47" s="577"/>
      <c r="AI47" s="577"/>
      <c r="AJ47" s="577"/>
      <c r="AK47" s="577"/>
      <c r="AL47" s="577"/>
      <c r="AM47" s="577"/>
      <c r="AN47" s="577"/>
      <c r="AO47" s="577"/>
      <c r="AP47" s="577"/>
      <c r="AQ47" s="577"/>
      <c r="AR47" s="577"/>
      <c r="AS47" s="577"/>
      <c r="AT47" s="577"/>
      <c r="AU47" s="577"/>
      <c r="AV47" s="577"/>
      <c r="AW47" s="577"/>
      <c r="AX47" s="577"/>
      <c r="AY47" s="577"/>
      <c r="AZ47" s="577"/>
    </row>
    <row r="48" spans="1:52" ht="15.75" customHeight="1" x14ac:dyDescent="0.2">
      <c r="A48" s="577"/>
      <c r="B48" s="577"/>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577"/>
      <c r="AJ48" s="577"/>
      <c r="AK48" s="577"/>
      <c r="AL48" s="577"/>
      <c r="AM48" s="577"/>
      <c r="AN48" s="577"/>
      <c r="AO48" s="577"/>
      <c r="AP48" s="577"/>
      <c r="AQ48" s="577"/>
      <c r="AR48" s="577"/>
      <c r="AS48" s="577"/>
      <c r="AT48" s="577"/>
      <c r="AU48" s="577"/>
      <c r="AV48" s="577"/>
      <c r="AW48" s="577"/>
      <c r="AX48" s="577"/>
      <c r="AY48" s="577"/>
      <c r="AZ48" s="577"/>
    </row>
    <row r="49" spans="1:52" ht="15.75" customHeight="1" x14ac:dyDescent="0.2">
      <c r="A49" s="577"/>
      <c r="B49" s="577"/>
      <c r="C49" s="577"/>
      <c r="D49" s="577"/>
      <c r="E49" s="577"/>
      <c r="F49" s="577"/>
      <c r="G49" s="577"/>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577"/>
      <c r="AO49" s="577"/>
      <c r="AP49" s="577"/>
      <c r="AQ49" s="577"/>
      <c r="AR49" s="577"/>
      <c r="AS49" s="577"/>
      <c r="AT49" s="577"/>
      <c r="AU49" s="577"/>
      <c r="AV49" s="577"/>
      <c r="AW49" s="577"/>
      <c r="AX49" s="577"/>
      <c r="AY49" s="577"/>
      <c r="AZ49" s="577"/>
    </row>
    <row r="50" spans="1:52" ht="15.75" customHeight="1" x14ac:dyDescent="0.2">
      <c r="A50" s="577"/>
      <c r="B50" s="577"/>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577"/>
      <c r="AJ50" s="577"/>
      <c r="AK50" s="577"/>
      <c r="AL50" s="577"/>
      <c r="AM50" s="577"/>
      <c r="AN50" s="577"/>
      <c r="AO50" s="577"/>
      <c r="AP50" s="577"/>
      <c r="AQ50" s="577"/>
      <c r="AR50" s="577"/>
      <c r="AS50" s="577"/>
      <c r="AT50" s="577"/>
      <c r="AU50" s="577"/>
      <c r="AV50" s="577"/>
      <c r="AW50" s="577"/>
      <c r="AX50" s="577"/>
      <c r="AY50" s="577"/>
      <c r="AZ50" s="577"/>
    </row>
    <row r="51" spans="1:52" ht="15.75" customHeight="1" x14ac:dyDescent="0.2">
      <c r="A51" s="577"/>
      <c r="B51" s="577"/>
      <c r="C51" s="577"/>
      <c r="D51" s="577"/>
      <c r="E51" s="577"/>
      <c r="F51" s="577"/>
      <c r="G51" s="577"/>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c r="AK51" s="577"/>
      <c r="AL51" s="577"/>
      <c r="AM51" s="577"/>
      <c r="AN51" s="577"/>
      <c r="AO51" s="577"/>
      <c r="AP51" s="577"/>
      <c r="AQ51" s="577"/>
      <c r="AR51" s="577"/>
      <c r="AS51" s="577"/>
      <c r="AT51" s="577"/>
      <c r="AU51" s="577"/>
      <c r="AV51" s="577"/>
      <c r="AW51" s="577"/>
      <c r="AX51" s="577"/>
      <c r="AY51" s="577"/>
      <c r="AZ51" s="577"/>
    </row>
    <row r="52" spans="1:52" ht="15.75" customHeight="1" x14ac:dyDescent="0.2">
      <c r="A52" s="577"/>
      <c r="B52" s="577"/>
      <c r="C52" s="577"/>
      <c r="D52" s="577"/>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c r="AK52" s="577"/>
      <c r="AL52" s="577"/>
      <c r="AM52" s="577"/>
      <c r="AN52" s="577"/>
      <c r="AO52" s="577"/>
      <c r="AP52" s="577"/>
      <c r="AQ52" s="577"/>
      <c r="AR52" s="577"/>
      <c r="AS52" s="577"/>
      <c r="AT52" s="577"/>
      <c r="AU52" s="577"/>
      <c r="AV52" s="577"/>
      <c r="AW52" s="577"/>
      <c r="AX52" s="577"/>
      <c r="AY52" s="577"/>
      <c r="AZ52" s="577"/>
    </row>
    <row r="53" spans="1:52" ht="15.75" customHeight="1" x14ac:dyDescent="0.2">
      <c r="A53" s="577"/>
      <c r="B53" s="577"/>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577"/>
      <c r="AO53" s="577"/>
      <c r="AP53" s="577"/>
      <c r="AQ53" s="577"/>
      <c r="AR53" s="577"/>
      <c r="AS53" s="577"/>
      <c r="AT53" s="577"/>
      <c r="AU53" s="577"/>
      <c r="AV53" s="577"/>
      <c r="AW53" s="577"/>
      <c r="AX53" s="577"/>
      <c r="AY53" s="577"/>
      <c r="AZ53" s="577"/>
    </row>
    <row r="54" spans="1:52" ht="15.75" customHeight="1" x14ac:dyDescent="0.2">
      <c r="A54" s="577"/>
      <c r="B54" s="577"/>
      <c r="C54" s="577"/>
      <c r="D54" s="577"/>
      <c r="E54" s="577"/>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577"/>
      <c r="AO54" s="577"/>
      <c r="AP54" s="577"/>
      <c r="AQ54" s="577"/>
      <c r="AR54" s="577"/>
      <c r="AS54" s="577"/>
      <c r="AT54" s="577"/>
      <c r="AU54" s="577"/>
      <c r="AV54" s="577"/>
      <c r="AW54" s="577"/>
      <c r="AX54" s="577"/>
      <c r="AY54" s="577"/>
      <c r="AZ54" s="577"/>
    </row>
    <row r="55" spans="1:52" ht="15.75" customHeight="1" x14ac:dyDescent="0.2">
      <c r="A55" s="577"/>
      <c r="B55" s="577"/>
      <c r="C55" s="577"/>
      <c r="D55" s="577"/>
      <c r="E55" s="577"/>
      <c r="F55" s="577"/>
      <c r="G55" s="577"/>
      <c r="H55" s="577"/>
      <c r="I55" s="577"/>
      <c r="J55" s="577"/>
      <c r="K55" s="577"/>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c r="AO55" s="577"/>
      <c r="AP55" s="577"/>
      <c r="AQ55" s="577"/>
      <c r="AR55" s="577"/>
      <c r="AS55" s="577"/>
      <c r="AT55" s="577"/>
      <c r="AU55" s="577"/>
      <c r="AV55" s="577"/>
      <c r="AW55" s="577"/>
      <c r="AX55" s="577"/>
      <c r="AY55" s="577"/>
      <c r="AZ55" s="577"/>
    </row>
    <row r="56" spans="1:52" ht="15.75" customHeight="1" x14ac:dyDescent="0.2">
      <c r="A56" s="577"/>
      <c r="B56" s="577"/>
      <c r="C56" s="577"/>
      <c r="D56" s="577"/>
      <c r="E56" s="577"/>
      <c r="F56" s="577"/>
      <c r="G56" s="577"/>
      <c r="H56" s="577"/>
      <c r="I56" s="577"/>
      <c r="J56" s="577"/>
      <c r="K56" s="577"/>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c r="AO56" s="577"/>
      <c r="AP56" s="577"/>
      <c r="AQ56" s="577"/>
      <c r="AR56" s="577"/>
      <c r="AS56" s="577"/>
      <c r="AT56" s="577"/>
      <c r="AU56" s="577"/>
      <c r="AV56" s="577"/>
      <c r="AW56" s="577"/>
      <c r="AX56" s="577"/>
      <c r="AY56" s="577"/>
      <c r="AZ56" s="577"/>
    </row>
    <row r="57" spans="1:52" ht="15.75" customHeight="1" x14ac:dyDescent="0.2">
      <c r="A57" s="577"/>
      <c r="B57" s="577"/>
      <c r="C57" s="577"/>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c r="AO57" s="577"/>
      <c r="AP57" s="577"/>
      <c r="AQ57" s="577"/>
      <c r="AR57" s="577"/>
      <c r="AS57" s="577"/>
      <c r="AT57" s="577"/>
      <c r="AU57" s="577"/>
      <c r="AV57" s="577"/>
      <c r="AW57" s="577"/>
      <c r="AX57" s="577"/>
      <c r="AY57" s="577"/>
      <c r="AZ57" s="577"/>
    </row>
    <row r="58" spans="1:52" ht="15.75" customHeight="1" x14ac:dyDescent="0.2">
      <c r="A58" s="577"/>
      <c r="B58" s="577"/>
      <c r="C58" s="577"/>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c r="AO58" s="577"/>
      <c r="AP58" s="577"/>
      <c r="AQ58" s="577"/>
      <c r="AR58" s="577"/>
      <c r="AS58" s="577"/>
      <c r="AT58" s="577"/>
      <c r="AU58" s="577"/>
      <c r="AV58" s="577"/>
      <c r="AW58" s="577"/>
      <c r="AX58" s="577"/>
      <c r="AY58" s="577"/>
      <c r="AZ58" s="577"/>
    </row>
    <row r="59" spans="1:52" ht="15.75" customHeight="1" x14ac:dyDescent="0.2">
      <c r="A59" s="577"/>
      <c r="B59" s="577"/>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c r="AO59" s="577"/>
      <c r="AP59" s="577"/>
      <c r="AQ59" s="577"/>
      <c r="AR59" s="577"/>
      <c r="AS59" s="577"/>
      <c r="AT59" s="577"/>
      <c r="AU59" s="577"/>
      <c r="AV59" s="577"/>
      <c r="AW59" s="577"/>
      <c r="AX59" s="577"/>
      <c r="AY59" s="577"/>
      <c r="AZ59" s="577"/>
    </row>
    <row r="60" spans="1:52" ht="15.75" customHeight="1" x14ac:dyDescent="0.2">
      <c r="A60" s="577"/>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7"/>
      <c r="AY60" s="577"/>
      <c r="AZ60" s="577"/>
    </row>
    <row r="61" spans="1:52" ht="15.75" customHeight="1" x14ac:dyDescent="0.2">
      <c r="A61" s="577"/>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7"/>
      <c r="AY61" s="577"/>
      <c r="AZ61" s="577"/>
    </row>
    <row r="62" spans="1:52" ht="15.75" customHeight="1" x14ac:dyDescent="0.2">
      <c r="A62" s="577"/>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7"/>
      <c r="AY62" s="577"/>
      <c r="AZ62" s="577"/>
    </row>
    <row r="63" spans="1:52" ht="15.75" customHeight="1" x14ac:dyDescent="0.2">
      <c r="A63" s="577"/>
      <c r="B63" s="577"/>
      <c r="C63" s="577"/>
      <c r="D63" s="577"/>
      <c r="E63" s="577"/>
      <c r="F63" s="577"/>
      <c r="G63" s="577"/>
      <c r="H63" s="577"/>
      <c r="I63" s="577"/>
      <c r="J63" s="577"/>
      <c r="K63" s="577"/>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c r="AO63" s="577"/>
      <c r="AP63" s="577"/>
      <c r="AQ63" s="577"/>
      <c r="AR63" s="577"/>
      <c r="AS63" s="577"/>
      <c r="AT63" s="577"/>
      <c r="AU63" s="577"/>
      <c r="AV63" s="577"/>
      <c r="AW63" s="577"/>
      <c r="AX63" s="577"/>
      <c r="AY63" s="577"/>
      <c r="AZ63" s="577"/>
    </row>
    <row r="64" spans="1:52" ht="15.75" customHeight="1" x14ac:dyDescent="0.2">
      <c r="A64" s="577"/>
      <c r="B64" s="577"/>
      <c r="C64" s="577"/>
      <c r="D64" s="577"/>
      <c r="E64" s="577"/>
      <c r="F64" s="577"/>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c r="AO64" s="577"/>
      <c r="AP64" s="577"/>
      <c r="AQ64" s="577"/>
      <c r="AR64" s="577"/>
      <c r="AS64" s="577"/>
      <c r="AT64" s="577"/>
      <c r="AU64" s="577"/>
      <c r="AV64" s="577"/>
      <c r="AW64" s="577"/>
      <c r="AX64" s="577"/>
      <c r="AY64" s="577"/>
      <c r="AZ64" s="577"/>
    </row>
    <row r="65" spans="1:52" ht="15.75" customHeight="1" x14ac:dyDescent="0.2">
      <c r="A65" s="577"/>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c r="AO65" s="577"/>
      <c r="AP65" s="577"/>
      <c r="AQ65" s="577"/>
      <c r="AR65" s="577"/>
      <c r="AS65" s="577"/>
      <c r="AT65" s="577"/>
      <c r="AU65" s="577"/>
      <c r="AV65" s="577"/>
      <c r="AW65" s="577"/>
      <c r="AX65" s="577"/>
      <c r="AY65" s="577"/>
      <c r="AZ65" s="577"/>
    </row>
    <row r="66" spans="1:52" ht="15.75" customHeight="1" x14ac:dyDescent="0.2">
      <c r="A66" s="577"/>
      <c r="B66" s="577"/>
      <c r="C66" s="577"/>
      <c r="D66" s="577"/>
      <c r="E66" s="577"/>
      <c r="F66" s="577"/>
      <c r="G66" s="577"/>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c r="AO66" s="577"/>
      <c r="AP66" s="577"/>
      <c r="AQ66" s="577"/>
      <c r="AR66" s="577"/>
      <c r="AS66" s="577"/>
      <c r="AT66" s="577"/>
      <c r="AU66" s="577"/>
      <c r="AV66" s="577"/>
      <c r="AW66" s="577"/>
      <c r="AX66" s="577"/>
      <c r="AY66" s="577"/>
      <c r="AZ66" s="577"/>
    </row>
    <row r="67" spans="1:52" ht="15.75" customHeight="1" x14ac:dyDescent="0.2">
      <c r="A67" s="577"/>
      <c r="B67" s="577"/>
      <c r="C67" s="577"/>
      <c r="D67" s="577"/>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c r="AO67" s="577"/>
      <c r="AP67" s="577"/>
      <c r="AQ67" s="577"/>
      <c r="AR67" s="577"/>
      <c r="AS67" s="577"/>
      <c r="AT67" s="577"/>
      <c r="AU67" s="577"/>
      <c r="AV67" s="577"/>
      <c r="AW67" s="577"/>
      <c r="AX67" s="577"/>
      <c r="AY67" s="577"/>
      <c r="AZ67" s="577"/>
    </row>
    <row r="68" spans="1:52" ht="15.75" customHeight="1" x14ac:dyDescent="0.2">
      <c r="A68" s="577"/>
      <c r="B68" s="577"/>
      <c r="C68" s="577"/>
      <c r="D68" s="577"/>
      <c r="E68" s="577"/>
      <c r="F68" s="577"/>
      <c r="G68" s="577"/>
      <c r="H68" s="577"/>
      <c r="I68" s="577"/>
      <c r="J68" s="577"/>
      <c r="K68" s="577"/>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c r="AS68" s="577"/>
      <c r="AT68" s="577"/>
      <c r="AU68" s="577"/>
      <c r="AV68" s="577"/>
      <c r="AW68" s="577"/>
      <c r="AX68" s="577"/>
      <c r="AY68" s="577"/>
      <c r="AZ68" s="577"/>
    </row>
    <row r="69" spans="1:52" ht="15.75" customHeight="1" x14ac:dyDescent="0.2">
      <c r="A69" s="577"/>
      <c r="B69" s="577"/>
      <c r="C69" s="577"/>
      <c r="D69" s="577"/>
      <c r="E69" s="577"/>
      <c r="F69" s="577"/>
      <c r="G69" s="577"/>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c r="AO69" s="577"/>
      <c r="AP69" s="577"/>
      <c r="AQ69" s="577"/>
      <c r="AR69" s="577"/>
      <c r="AS69" s="577"/>
      <c r="AT69" s="577"/>
      <c r="AU69" s="577"/>
      <c r="AV69" s="577"/>
      <c r="AW69" s="577"/>
      <c r="AX69" s="577"/>
      <c r="AY69" s="577"/>
      <c r="AZ69" s="577"/>
    </row>
    <row r="70" spans="1:52" ht="15.75" customHeight="1" x14ac:dyDescent="0.2">
      <c r="A70" s="577"/>
      <c r="B70" s="577"/>
      <c r="C70" s="577"/>
      <c r="D70" s="577"/>
      <c r="E70" s="577"/>
      <c r="F70" s="577"/>
      <c r="G70" s="577"/>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c r="AS70" s="577"/>
      <c r="AT70" s="577"/>
      <c r="AU70" s="577"/>
      <c r="AV70" s="577"/>
      <c r="AW70" s="577"/>
      <c r="AX70" s="577"/>
      <c r="AY70" s="577"/>
      <c r="AZ70" s="577"/>
    </row>
    <row r="71" spans="1:52" ht="15.75" customHeight="1" x14ac:dyDescent="0.2">
      <c r="A71" s="577"/>
      <c r="B71" s="577"/>
      <c r="C71" s="577"/>
      <c r="D71" s="577"/>
      <c r="E71" s="577"/>
      <c r="F71" s="577"/>
      <c r="G71" s="577"/>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c r="AO71" s="577"/>
      <c r="AP71" s="577"/>
      <c r="AQ71" s="577"/>
      <c r="AR71" s="577"/>
      <c r="AS71" s="577"/>
      <c r="AT71" s="577"/>
      <c r="AU71" s="577"/>
      <c r="AV71" s="577"/>
      <c r="AW71" s="577"/>
      <c r="AX71" s="577"/>
      <c r="AY71" s="577"/>
      <c r="AZ71" s="577"/>
    </row>
    <row r="72" spans="1:52" ht="15.75" customHeight="1" x14ac:dyDescent="0.2">
      <c r="A72" s="577"/>
      <c r="B72" s="577"/>
      <c r="C72" s="577"/>
      <c r="D72" s="577"/>
      <c r="E72" s="577"/>
      <c r="F72" s="577"/>
      <c r="G72" s="577"/>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c r="AO72" s="577"/>
      <c r="AP72" s="577"/>
      <c r="AQ72" s="577"/>
      <c r="AR72" s="577"/>
      <c r="AS72" s="577"/>
      <c r="AT72" s="577"/>
      <c r="AU72" s="577"/>
      <c r="AV72" s="577"/>
      <c r="AW72" s="577"/>
      <c r="AX72" s="577"/>
      <c r="AY72" s="577"/>
      <c r="AZ72" s="577"/>
    </row>
    <row r="73" spans="1:52" ht="15.75" customHeight="1" x14ac:dyDescent="0.2">
      <c r="A73" s="577"/>
      <c r="B73" s="577"/>
      <c r="C73" s="577"/>
      <c r="D73" s="577"/>
      <c r="E73" s="577"/>
      <c r="F73" s="577"/>
      <c r="G73" s="577"/>
      <c r="H73" s="577"/>
      <c r="I73" s="577"/>
      <c r="J73" s="577"/>
      <c r="K73" s="577"/>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c r="AO73" s="577"/>
      <c r="AP73" s="577"/>
      <c r="AQ73" s="577"/>
      <c r="AR73" s="577"/>
      <c r="AS73" s="577"/>
      <c r="AT73" s="577"/>
      <c r="AU73" s="577"/>
      <c r="AV73" s="577"/>
      <c r="AW73" s="577"/>
      <c r="AX73" s="577"/>
      <c r="AY73" s="577"/>
      <c r="AZ73" s="577"/>
    </row>
    <row r="74" spans="1:52" ht="15.75" customHeight="1" x14ac:dyDescent="0.2">
      <c r="A74" s="577"/>
      <c r="B74" s="577"/>
      <c r="C74" s="577"/>
      <c r="D74" s="577"/>
      <c r="E74" s="577"/>
      <c r="F74" s="577"/>
      <c r="G74" s="577"/>
      <c r="H74" s="577"/>
      <c r="I74" s="577"/>
      <c r="J74" s="577"/>
      <c r="K74" s="577"/>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c r="AO74" s="577"/>
      <c r="AP74" s="577"/>
      <c r="AQ74" s="577"/>
      <c r="AR74" s="577"/>
      <c r="AS74" s="577"/>
      <c r="AT74" s="577"/>
      <c r="AU74" s="577"/>
      <c r="AV74" s="577"/>
      <c r="AW74" s="577"/>
      <c r="AX74" s="577"/>
      <c r="AY74" s="577"/>
      <c r="AZ74" s="577"/>
    </row>
    <row r="75" spans="1:52" ht="15.75" customHeight="1" x14ac:dyDescent="0.2">
      <c r="A75" s="577"/>
      <c r="B75" s="577"/>
      <c r="C75" s="577"/>
      <c r="D75" s="577"/>
      <c r="E75" s="577"/>
      <c r="F75" s="577"/>
      <c r="G75" s="577"/>
      <c r="H75" s="577"/>
      <c r="I75" s="577"/>
      <c r="J75" s="577"/>
      <c r="K75" s="577"/>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c r="AO75" s="577"/>
      <c r="AP75" s="577"/>
      <c r="AQ75" s="577"/>
      <c r="AR75" s="577"/>
      <c r="AS75" s="577"/>
      <c r="AT75" s="577"/>
      <c r="AU75" s="577"/>
      <c r="AV75" s="577"/>
      <c r="AW75" s="577"/>
      <c r="AX75" s="577"/>
      <c r="AY75" s="577"/>
      <c r="AZ75" s="577"/>
    </row>
    <row r="76" spans="1:52" ht="15.75" customHeight="1" x14ac:dyDescent="0.2">
      <c r="A76" s="577"/>
      <c r="B76" s="577"/>
      <c r="C76" s="577"/>
      <c r="D76" s="577"/>
      <c r="E76" s="577"/>
      <c r="F76" s="577"/>
      <c r="G76" s="577"/>
      <c r="H76" s="577"/>
      <c r="I76" s="577"/>
      <c r="J76" s="577"/>
      <c r="K76" s="577"/>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c r="AO76" s="577"/>
      <c r="AP76" s="577"/>
      <c r="AQ76" s="577"/>
      <c r="AR76" s="577"/>
      <c r="AS76" s="577"/>
      <c r="AT76" s="577"/>
      <c r="AU76" s="577"/>
      <c r="AV76" s="577"/>
      <c r="AW76" s="577"/>
      <c r="AX76" s="577"/>
      <c r="AY76" s="577"/>
      <c r="AZ76" s="577"/>
    </row>
    <row r="77" spans="1:52" ht="15.75" customHeight="1" x14ac:dyDescent="0.2">
      <c r="A77" s="577"/>
      <c r="B77" s="577"/>
      <c r="C77" s="577"/>
      <c r="D77" s="577"/>
      <c r="E77" s="577"/>
      <c r="F77" s="577"/>
      <c r="G77" s="577"/>
      <c r="H77" s="577"/>
      <c r="I77" s="577"/>
      <c r="J77" s="577"/>
      <c r="K77" s="577"/>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77"/>
      <c r="AL77" s="577"/>
      <c r="AM77" s="577"/>
      <c r="AN77" s="577"/>
      <c r="AO77" s="577"/>
      <c r="AP77" s="577"/>
      <c r="AQ77" s="577"/>
      <c r="AR77" s="577"/>
      <c r="AS77" s="577"/>
      <c r="AT77" s="577"/>
      <c r="AU77" s="577"/>
      <c r="AV77" s="577"/>
      <c r="AW77" s="577"/>
      <c r="AX77" s="577"/>
      <c r="AY77" s="577"/>
      <c r="AZ77" s="577"/>
    </row>
    <row r="78" spans="1:52" ht="15.75" customHeight="1" x14ac:dyDescent="0.2">
      <c r="A78" s="577"/>
      <c r="B78" s="577"/>
      <c r="C78" s="577"/>
      <c r="D78" s="577"/>
      <c r="E78" s="577"/>
      <c r="F78" s="577"/>
      <c r="G78" s="577"/>
      <c r="H78" s="577"/>
      <c r="I78" s="577"/>
      <c r="J78" s="577"/>
      <c r="K78" s="577"/>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c r="AO78" s="577"/>
      <c r="AP78" s="577"/>
      <c r="AQ78" s="577"/>
      <c r="AR78" s="577"/>
      <c r="AS78" s="577"/>
      <c r="AT78" s="577"/>
      <c r="AU78" s="577"/>
      <c r="AV78" s="577"/>
      <c r="AW78" s="577"/>
      <c r="AX78" s="577"/>
      <c r="AY78" s="577"/>
      <c r="AZ78" s="577"/>
    </row>
    <row r="79" spans="1:52" ht="15.75" customHeight="1" x14ac:dyDescent="0.2">
      <c r="A79" s="577"/>
      <c r="B79" s="577"/>
      <c r="C79" s="577"/>
      <c r="D79" s="577"/>
      <c r="E79" s="577"/>
      <c r="F79" s="577"/>
      <c r="G79" s="577"/>
      <c r="H79" s="577"/>
      <c r="I79" s="577"/>
      <c r="J79" s="577"/>
      <c r="K79" s="577"/>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c r="AO79" s="577"/>
      <c r="AP79" s="577"/>
      <c r="AQ79" s="577"/>
      <c r="AR79" s="577"/>
      <c r="AS79" s="577"/>
      <c r="AT79" s="577"/>
      <c r="AU79" s="577"/>
      <c r="AV79" s="577"/>
      <c r="AW79" s="577"/>
      <c r="AX79" s="577"/>
      <c r="AY79" s="577"/>
      <c r="AZ79" s="577"/>
    </row>
    <row r="80" spans="1:52" ht="15.75" customHeight="1" x14ac:dyDescent="0.2">
      <c r="A80" s="577"/>
      <c r="B80" s="577"/>
      <c r="C80" s="577"/>
      <c r="D80" s="577"/>
      <c r="E80" s="577"/>
      <c r="F80" s="577"/>
      <c r="G80" s="577"/>
      <c r="H80" s="577"/>
      <c r="I80" s="577"/>
      <c r="J80" s="577"/>
      <c r="K80" s="577"/>
      <c r="L80" s="577"/>
      <c r="M80" s="577"/>
      <c r="N80" s="577"/>
      <c r="O80" s="577"/>
      <c r="P80" s="577"/>
      <c r="Q80" s="577"/>
      <c r="R80" s="577"/>
      <c r="S80" s="577"/>
      <c r="T80" s="577"/>
      <c r="U80" s="577"/>
      <c r="V80" s="577"/>
      <c r="W80" s="577"/>
      <c r="X80" s="577"/>
      <c r="Y80" s="577"/>
      <c r="Z80" s="577"/>
      <c r="AA80" s="577"/>
      <c r="AB80" s="577"/>
      <c r="AC80" s="577"/>
      <c r="AD80" s="577"/>
      <c r="AE80" s="577"/>
      <c r="AF80" s="577"/>
      <c r="AG80" s="577"/>
      <c r="AH80" s="577"/>
      <c r="AI80" s="577"/>
      <c r="AJ80" s="577"/>
      <c r="AK80" s="577"/>
      <c r="AL80" s="577"/>
      <c r="AM80" s="577"/>
      <c r="AN80" s="577"/>
      <c r="AO80" s="577"/>
      <c r="AP80" s="577"/>
      <c r="AQ80" s="577"/>
      <c r="AR80" s="577"/>
      <c r="AS80" s="577"/>
      <c r="AT80" s="577"/>
      <c r="AU80" s="577"/>
      <c r="AV80" s="577"/>
      <c r="AW80" s="577"/>
      <c r="AX80" s="577"/>
      <c r="AY80" s="577"/>
      <c r="AZ80" s="577"/>
    </row>
    <row r="81" spans="1:52" ht="15.75" customHeight="1" x14ac:dyDescent="0.2">
      <c r="A81" s="577"/>
      <c r="B81" s="577"/>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7"/>
      <c r="AY81" s="577"/>
      <c r="AZ81" s="577"/>
    </row>
    <row r="82" spans="1:52" ht="15.75" customHeight="1" x14ac:dyDescent="0.2">
      <c r="A82" s="577"/>
      <c r="B82" s="577"/>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c r="AO82" s="577"/>
      <c r="AP82" s="577"/>
      <c r="AQ82" s="577"/>
      <c r="AR82" s="577"/>
      <c r="AS82" s="577"/>
      <c r="AT82" s="577"/>
      <c r="AU82" s="577"/>
      <c r="AV82" s="577"/>
      <c r="AW82" s="577"/>
      <c r="AX82" s="577"/>
      <c r="AY82" s="577"/>
      <c r="AZ82" s="577"/>
    </row>
    <row r="83" spans="1:52" ht="15.75" customHeight="1" x14ac:dyDescent="0.2">
      <c r="A83" s="577"/>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c r="AO83" s="577"/>
      <c r="AP83" s="577"/>
      <c r="AQ83" s="577"/>
      <c r="AR83" s="577"/>
      <c r="AS83" s="577"/>
      <c r="AT83" s="577"/>
      <c r="AU83" s="577"/>
      <c r="AV83" s="577"/>
      <c r="AW83" s="577"/>
      <c r="AX83" s="577"/>
      <c r="AY83" s="577"/>
      <c r="AZ83" s="577"/>
    </row>
    <row r="84" spans="1:52" ht="15.75" customHeight="1" x14ac:dyDescent="0.2">
      <c r="A84" s="577"/>
      <c r="B84" s="577"/>
      <c r="C84" s="577"/>
      <c r="D84" s="577"/>
      <c r="E84" s="577"/>
      <c r="F84" s="577"/>
      <c r="G84" s="577"/>
      <c r="H84" s="577"/>
      <c r="I84" s="577"/>
      <c r="J84" s="577"/>
      <c r="K84" s="577"/>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c r="AO84" s="577"/>
      <c r="AP84" s="577"/>
      <c r="AQ84" s="577"/>
      <c r="AR84" s="577"/>
      <c r="AS84" s="577"/>
      <c r="AT84" s="577"/>
      <c r="AU84" s="577"/>
      <c r="AV84" s="577"/>
      <c r="AW84" s="577"/>
      <c r="AX84" s="577"/>
      <c r="AY84" s="577"/>
      <c r="AZ84" s="577"/>
    </row>
    <row r="85" spans="1:52" ht="15.75" customHeight="1" x14ac:dyDescent="0.2">
      <c r="A85" s="577"/>
      <c r="B85" s="577"/>
      <c r="C85" s="577"/>
      <c r="D85" s="577"/>
      <c r="E85" s="577"/>
      <c r="F85" s="577"/>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c r="AO85" s="577"/>
      <c r="AP85" s="577"/>
      <c r="AQ85" s="577"/>
      <c r="AR85" s="577"/>
      <c r="AS85" s="577"/>
      <c r="AT85" s="577"/>
      <c r="AU85" s="577"/>
      <c r="AV85" s="577"/>
      <c r="AW85" s="577"/>
      <c r="AX85" s="577"/>
      <c r="AY85" s="577"/>
      <c r="AZ85" s="577"/>
    </row>
    <row r="86" spans="1:52" ht="15.75" customHeight="1" x14ac:dyDescent="0.2">
      <c r="A86" s="577"/>
      <c r="B86" s="577"/>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577"/>
      <c r="AY86" s="577"/>
      <c r="AZ86" s="577"/>
    </row>
    <row r="87" spans="1:52" ht="15.75" customHeight="1" x14ac:dyDescent="0.2">
      <c r="A87" s="577"/>
      <c r="B87" s="577"/>
      <c r="C87" s="577"/>
      <c r="D87" s="577"/>
      <c r="E87" s="577"/>
      <c r="F87" s="577"/>
      <c r="G87" s="577"/>
      <c r="H87" s="577"/>
      <c r="I87" s="577"/>
      <c r="J87" s="577"/>
      <c r="K87" s="577"/>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c r="AO87" s="577"/>
      <c r="AP87" s="577"/>
      <c r="AQ87" s="577"/>
      <c r="AR87" s="577"/>
      <c r="AS87" s="577"/>
      <c r="AT87" s="577"/>
      <c r="AU87" s="577"/>
      <c r="AV87" s="577"/>
      <c r="AW87" s="577"/>
      <c r="AX87" s="577"/>
      <c r="AY87" s="577"/>
      <c r="AZ87" s="577"/>
    </row>
    <row r="88" spans="1:52" ht="15.75" customHeight="1" x14ac:dyDescent="0.2">
      <c r="A88" s="577"/>
      <c r="B88" s="577"/>
      <c r="C88" s="577"/>
      <c r="D88" s="577"/>
      <c r="E88" s="577"/>
      <c r="F88" s="577"/>
      <c r="G88" s="577"/>
      <c r="H88" s="577"/>
      <c r="I88" s="577"/>
      <c r="J88" s="577"/>
      <c r="K88" s="577"/>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c r="AO88" s="577"/>
      <c r="AP88" s="577"/>
      <c r="AQ88" s="577"/>
      <c r="AR88" s="577"/>
      <c r="AS88" s="577"/>
      <c r="AT88" s="577"/>
      <c r="AU88" s="577"/>
      <c r="AV88" s="577"/>
      <c r="AW88" s="577"/>
      <c r="AX88" s="577"/>
      <c r="AY88" s="577"/>
      <c r="AZ88" s="577"/>
    </row>
    <row r="89" spans="1:52" ht="15.75" customHeight="1" x14ac:dyDescent="0.2">
      <c r="A89" s="577"/>
      <c r="B89" s="577"/>
      <c r="C89" s="577"/>
      <c r="D89" s="577"/>
      <c r="E89" s="577"/>
      <c r="F89" s="577"/>
      <c r="G89" s="577"/>
      <c r="H89" s="577"/>
      <c r="I89" s="577"/>
      <c r="J89" s="577"/>
      <c r="K89" s="577"/>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c r="AO89" s="577"/>
      <c r="AP89" s="577"/>
      <c r="AQ89" s="577"/>
      <c r="AR89" s="577"/>
      <c r="AS89" s="577"/>
      <c r="AT89" s="577"/>
      <c r="AU89" s="577"/>
      <c r="AV89" s="577"/>
      <c r="AW89" s="577"/>
      <c r="AX89" s="577"/>
      <c r="AY89" s="577"/>
      <c r="AZ89" s="577"/>
    </row>
    <row r="90" spans="1:52" ht="15.75" customHeight="1" x14ac:dyDescent="0.2">
      <c r="A90" s="577"/>
      <c r="B90" s="577"/>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c r="AO90" s="577"/>
      <c r="AP90" s="577"/>
      <c r="AQ90" s="577"/>
      <c r="AR90" s="577"/>
      <c r="AS90" s="577"/>
      <c r="AT90" s="577"/>
      <c r="AU90" s="577"/>
      <c r="AV90" s="577"/>
      <c r="AW90" s="577"/>
      <c r="AX90" s="577"/>
      <c r="AY90" s="577"/>
      <c r="AZ90" s="577"/>
    </row>
    <row r="91" spans="1:52" ht="15.75" customHeight="1" x14ac:dyDescent="0.2">
      <c r="A91" s="577"/>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c r="AO91" s="577"/>
      <c r="AP91" s="577"/>
      <c r="AQ91" s="577"/>
      <c r="AR91" s="577"/>
      <c r="AS91" s="577"/>
      <c r="AT91" s="577"/>
      <c r="AU91" s="577"/>
      <c r="AV91" s="577"/>
      <c r="AW91" s="577"/>
      <c r="AX91" s="577"/>
      <c r="AY91" s="577"/>
      <c r="AZ91" s="577"/>
    </row>
    <row r="92" spans="1:52" ht="15.75" customHeight="1" x14ac:dyDescent="0.2">
      <c r="A92" s="577"/>
      <c r="B92" s="577"/>
      <c r="C92" s="577"/>
      <c r="D92" s="577"/>
      <c r="E92" s="577"/>
      <c r="F92" s="577"/>
      <c r="G92" s="577"/>
      <c r="H92" s="577"/>
      <c r="I92" s="577"/>
      <c r="J92" s="577"/>
      <c r="K92" s="577"/>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c r="AO92" s="577"/>
      <c r="AP92" s="577"/>
      <c r="AQ92" s="577"/>
      <c r="AR92" s="577"/>
      <c r="AS92" s="577"/>
      <c r="AT92" s="577"/>
      <c r="AU92" s="577"/>
      <c r="AV92" s="577"/>
      <c r="AW92" s="577"/>
      <c r="AX92" s="577"/>
      <c r="AY92" s="577"/>
      <c r="AZ92" s="577"/>
    </row>
    <row r="93" spans="1:52" ht="15.75" customHeight="1" x14ac:dyDescent="0.2">
      <c r="A93" s="577"/>
      <c r="B93" s="577"/>
      <c r="C93" s="577"/>
      <c r="D93" s="577"/>
      <c r="E93" s="577"/>
      <c r="F93" s="577"/>
      <c r="G93" s="577"/>
      <c r="H93" s="577"/>
      <c r="I93" s="577"/>
      <c r="J93" s="577"/>
      <c r="K93" s="577"/>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c r="AO93" s="577"/>
      <c r="AP93" s="577"/>
      <c r="AQ93" s="577"/>
      <c r="AR93" s="577"/>
      <c r="AS93" s="577"/>
      <c r="AT93" s="577"/>
      <c r="AU93" s="577"/>
      <c r="AV93" s="577"/>
      <c r="AW93" s="577"/>
      <c r="AX93" s="577"/>
      <c r="AY93" s="577"/>
      <c r="AZ93" s="577"/>
    </row>
    <row r="94" spans="1:52" ht="15.75" customHeight="1" x14ac:dyDescent="0.2">
      <c r="A94" s="577"/>
      <c r="B94" s="577"/>
      <c r="C94" s="577"/>
      <c r="D94" s="577"/>
      <c r="E94" s="577"/>
      <c r="F94" s="577"/>
      <c r="G94" s="577"/>
      <c r="H94" s="577"/>
      <c r="I94" s="577"/>
      <c r="J94" s="577"/>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c r="AO94" s="577"/>
      <c r="AP94" s="577"/>
      <c r="AQ94" s="577"/>
      <c r="AR94" s="577"/>
      <c r="AS94" s="577"/>
      <c r="AT94" s="577"/>
      <c r="AU94" s="577"/>
      <c r="AV94" s="577"/>
      <c r="AW94" s="577"/>
      <c r="AX94" s="577"/>
      <c r="AY94" s="577"/>
      <c r="AZ94" s="577"/>
    </row>
    <row r="95" spans="1:52" ht="15.75" customHeight="1" x14ac:dyDescent="0.2">
      <c r="A95" s="577"/>
      <c r="B95" s="577"/>
      <c r="C95" s="577"/>
      <c r="D95" s="577"/>
      <c r="E95" s="577"/>
      <c r="F95" s="577"/>
      <c r="G95" s="577"/>
      <c r="H95" s="577"/>
      <c r="I95" s="577"/>
      <c r="J95" s="577"/>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c r="AO95" s="577"/>
      <c r="AP95" s="577"/>
      <c r="AQ95" s="577"/>
      <c r="AR95" s="577"/>
      <c r="AS95" s="577"/>
      <c r="AT95" s="577"/>
      <c r="AU95" s="577"/>
      <c r="AV95" s="577"/>
      <c r="AW95" s="577"/>
      <c r="AX95" s="577"/>
      <c r="AY95" s="577"/>
      <c r="AZ95" s="577"/>
    </row>
    <row r="96" spans="1:52" ht="15.75" customHeight="1" x14ac:dyDescent="0.2">
      <c r="A96" s="577"/>
      <c r="B96" s="577"/>
      <c r="C96" s="577"/>
      <c r="D96" s="577"/>
      <c r="E96" s="577"/>
      <c r="F96" s="577"/>
      <c r="G96" s="577"/>
      <c r="H96" s="577"/>
      <c r="I96" s="577"/>
      <c r="J96" s="577"/>
      <c r="K96" s="577"/>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c r="AO96" s="577"/>
      <c r="AP96" s="577"/>
      <c r="AQ96" s="577"/>
      <c r="AR96" s="577"/>
      <c r="AS96" s="577"/>
      <c r="AT96" s="577"/>
      <c r="AU96" s="577"/>
      <c r="AV96" s="577"/>
      <c r="AW96" s="577"/>
      <c r="AX96" s="577"/>
      <c r="AY96" s="577"/>
      <c r="AZ96" s="577"/>
    </row>
    <row r="97" spans="1:52" ht="15.75" customHeight="1" x14ac:dyDescent="0.2">
      <c r="A97" s="577"/>
      <c r="B97" s="577"/>
      <c r="C97" s="577"/>
      <c r="D97" s="577"/>
      <c r="E97" s="577"/>
      <c r="F97" s="577"/>
      <c r="G97" s="577"/>
      <c r="H97" s="577"/>
      <c r="I97" s="577"/>
      <c r="J97" s="577"/>
      <c r="K97" s="577"/>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c r="AO97" s="577"/>
      <c r="AP97" s="577"/>
      <c r="AQ97" s="577"/>
      <c r="AR97" s="577"/>
      <c r="AS97" s="577"/>
      <c r="AT97" s="577"/>
      <c r="AU97" s="577"/>
      <c r="AV97" s="577"/>
      <c r="AW97" s="577"/>
      <c r="AX97" s="577"/>
      <c r="AY97" s="577"/>
      <c r="AZ97" s="577"/>
    </row>
    <row r="98" spans="1:52" ht="15.75" customHeight="1" x14ac:dyDescent="0.2">
      <c r="A98" s="577"/>
      <c r="B98" s="577"/>
      <c r="C98" s="577"/>
      <c r="D98" s="577"/>
      <c r="E98" s="577"/>
      <c r="F98" s="577"/>
      <c r="G98" s="577"/>
      <c r="H98" s="577"/>
      <c r="I98" s="577"/>
      <c r="J98" s="577"/>
      <c r="K98" s="577"/>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c r="AO98" s="577"/>
      <c r="AP98" s="577"/>
      <c r="AQ98" s="577"/>
      <c r="AR98" s="577"/>
      <c r="AS98" s="577"/>
      <c r="AT98" s="577"/>
      <c r="AU98" s="577"/>
      <c r="AV98" s="577"/>
      <c r="AW98" s="577"/>
      <c r="AX98" s="577"/>
      <c r="AY98" s="577"/>
      <c r="AZ98" s="577"/>
    </row>
    <row r="99" spans="1:52" ht="15.75" customHeight="1" x14ac:dyDescent="0.2">
      <c r="A99" s="577"/>
      <c r="B99" s="577"/>
      <c r="C99" s="577"/>
      <c r="D99" s="577"/>
      <c r="E99" s="577"/>
      <c r="F99" s="577"/>
      <c r="G99" s="577"/>
      <c r="H99" s="577"/>
      <c r="I99" s="577"/>
      <c r="J99" s="577"/>
      <c r="K99" s="577"/>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c r="AO99" s="577"/>
      <c r="AP99" s="577"/>
      <c r="AQ99" s="577"/>
      <c r="AR99" s="577"/>
      <c r="AS99" s="577"/>
      <c r="AT99" s="577"/>
      <c r="AU99" s="577"/>
      <c r="AV99" s="577"/>
      <c r="AW99" s="577"/>
      <c r="AX99" s="577"/>
      <c r="AY99" s="577"/>
      <c r="AZ99" s="577"/>
    </row>
    <row r="100" spans="1:52" ht="15.75" customHeight="1" x14ac:dyDescent="0.2">
      <c r="A100" s="577"/>
      <c r="B100" s="577"/>
      <c r="C100" s="577"/>
      <c r="D100" s="577"/>
      <c r="E100" s="577"/>
      <c r="F100" s="577"/>
      <c r="G100" s="577"/>
      <c r="H100" s="577"/>
      <c r="I100" s="577"/>
      <c r="J100" s="577"/>
      <c r="K100" s="577"/>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c r="AO100" s="577"/>
      <c r="AP100" s="577"/>
      <c r="AQ100" s="577"/>
      <c r="AR100" s="577"/>
      <c r="AS100" s="577"/>
      <c r="AT100" s="577"/>
      <c r="AU100" s="577"/>
      <c r="AV100" s="577"/>
      <c r="AW100" s="577"/>
      <c r="AX100" s="577"/>
      <c r="AY100" s="577"/>
      <c r="AZ100" s="577"/>
    </row>
    <row r="101" spans="1:52" ht="15.75" customHeight="1" x14ac:dyDescent="0.2">
      <c r="A101" s="577"/>
      <c r="B101" s="577"/>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c r="AO101" s="577"/>
      <c r="AP101" s="577"/>
      <c r="AQ101" s="577"/>
      <c r="AR101" s="577"/>
      <c r="AS101" s="577"/>
      <c r="AT101" s="577"/>
      <c r="AU101" s="577"/>
      <c r="AV101" s="577"/>
      <c r="AW101" s="577"/>
      <c r="AX101" s="577"/>
      <c r="AY101" s="577"/>
      <c r="AZ101" s="577"/>
    </row>
    <row r="102" spans="1:52" ht="15.75" customHeight="1" x14ac:dyDescent="0.2">
      <c r="A102" s="577"/>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c r="AO102" s="577"/>
      <c r="AP102" s="577"/>
      <c r="AQ102" s="577"/>
      <c r="AR102" s="577"/>
      <c r="AS102" s="577"/>
      <c r="AT102" s="577"/>
      <c r="AU102" s="577"/>
      <c r="AV102" s="577"/>
      <c r="AW102" s="577"/>
      <c r="AX102" s="577"/>
      <c r="AY102" s="577"/>
      <c r="AZ102" s="577"/>
    </row>
    <row r="103" spans="1:52" ht="15.75" customHeight="1" x14ac:dyDescent="0.2">
      <c r="A103" s="577"/>
      <c r="B103" s="577"/>
      <c r="C103" s="577"/>
      <c r="D103" s="577"/>
      <c r="E103" s="577"/>
      <c r="F103" s="577"/>
      <c r="G103" s="577"/>
      <c r="H103" s="577"/>
      <c r="I103" s="577"/>
      <c r="J103" s="577"/>
      <c r="K103" s="577"/>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c r="AO103" s="577"/>
      <c r="AP103" s="577"/>
      <c r="AQ103" s="577"/>
      <c r="AR103" s="577"/>
      <c r="AS103" s="577"/>
      <c r="AT103" s="577"/>
      <c r="AU103" s="577"/>
      <c r="AV103" s="577"/>
      <c r="AW103" s="577"/>
      <c r="AX103" s="577"/>
      <c r="AY103" s="577"/>
      <c r="AZ103" s="577"/>
    </row>
    <row r="104" spans="1:52" ht="15.75" customHeight="1" x14ac:dyDescent="0.2">
      <c r="A104" s="577"/>
      <c r="B104" s="577"/>
      <c r="C104" s="577"/>
      <c r="D104" s="577"/>
      <c r="E104" s="577"/>
      <c r="F104" s="577"/>
      <c r="G104" s="577"/>
      <c r="H104" s="577"/>
      <c r="I104" s="577"/>
      <c r="J104" s="577"/>
      <c r="K104" s="577"/>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c r="AO104" s="577"/>
      <c r="AP104" s="577"/>
      <c r="AQ104" s="577"/>
      <c r="AR104" s="577"/>
      <c r="AS104" s="577"/>
      <c r="AT104" s="577"/>
      <c r="AU104" s="577"/>
      <c r="AV104" s="577"/>
      <c r="AW104" s="577"/>
      <c r="AX104" s="577"/>
      <c r="AY104" s="577"/>
      <c r="AZ104" s="577"/>
    </row>
    <row r="105" spans="1:52" ht="15.75" customHeight="1" x14ac:dyDescent="0.2">
      <c r="A105" s="577"/>
      <c r="B105" s="577"/>
      <c r="C105" s="577"/>
      <c r="D105" s="577"/>
      <c r="E105" s="577"/>
      <c r="F105" s="577"/>
      <c r="G105" s="577"/>
      <c r="H105" s="577"/>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row>
    <row r="106" spans="1:52" ht="15.75" customHeight="1" x14ac:dyDescent="0.2">
      <c r="A106" s="577"/>
      <c r="B106" s="577"/>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577"/>
      <c r="AY106" s="577"/>
      <c r="AZ106" s="577"/>
    </row>
    <row r="107" spans="1:52" ht="15.75" customHeight="1" x14ac:dyDescent="0.2">
      <c r="A107" s="577"/>
      <c r="B107" s="577"/>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c r="AO107" s="577"/>
      <c r="AP107" s="577"/>
      <c r="AQ107" s="577"/>
      <c r="AR107" s="577"/>
      <c r="AS107" s="577"/>
      <c r="AT107" s="577"/>
      <c r="AU107" s="577"/>
      <c r="AV107" s="577"/>
      <c r="AW107" s="577"/>
      <c r="AX107" s="577"/>
      <c r="AY107" s="577"/>
      <c r="AZ107" s="577"/>
    </row>
    <row r="108" spans="1:52" ht="15.75" customHeight="1" x14ac:dyDescent="0.2">
      <c r="A108" s="577"/>
      <c r="B108" s="577"/>
      <c r="C108" s="577"/>
      <c r="D108" s="577"/>
      <c r="E108" s="577"/>
      <c r="F108" s="577"/>
      <c r="G108" s="577"/>
      <c r="H108" s="577"/>
      <c r="I108" s="577"/>
      <c r="J108" s="577"/>
      <c r="K108" s="577"/>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c r="AS108" s="577"/>
      <c r="AT108" s="577"/>
      <c r="AU108" s="577"/>
      <c r="AV108" s="577"/>
      <c r="AW108" s="577"/>
      <c r="AX108" s="577"/>
      <c r="AY108" s="577"/>
      <c r="AZ108" s="577"/>
    </row>
    <row r="109" spans="1:52" ht="15.75" customHeight="1" x14ac:dyDescent="0.2">
      <c r="A109" s="577"/>
      <c r="B109" s="577"/>
      <c r="C109" s="577"/>
      <c r="D109" s="577"/>
      <c r="E109" s="577"/>
      <c r="F109" s="577"/>
      <c r="G109" s="577"/>
      <c r="H109" s="577"/>
      <c r="I109" s="577"/>
      <c r="J109" s="577"/>
      <c r="K109" s="577"/>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c r="AO109" s="577"/>
      <c r="AP109" s="577"/>
      <c r="AQ109" s="577"/>
      <c r="AR109" s="577"/>
      <c r="AS109" s="577"/>
      <c r="AT109" s="577"/>
      <c r="AU109" s="577"/>
      <c r="AV109" s="577"/>
      <c r="AW109" s="577"/>
      <c r="AX109" s="577"/>
      <c r="AY109" s="577"/>
      <c r="AZ109" s="577"/>
    </row>
    <row r="110" spans="1:52" ht="15.75" customHeight="1" x14ac:dyDescent="0.2">
      <c r="A110" s="577"/>
      <c r="B110" s="577"/>
      <c r="C110" s="577"/>
      <c r="D110" s="577"/>
      <c r="E110" s="577"/>
      <c r="F110" s="577"/>
      <c r="G110" s="577"/>
      <c r="H110" s="577"/>
      <c r="I110" s="577"/>
      <c r="J110" s="577"/>
      <c r="K110" s="577"/>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c r="AO110" s="577"/>
      <c r="AP110" s="577"/>
      <c r="AQ110" s="577"/>
      <c r="AR110" s="577"/>
      <c r="AS110" s="577"/>
      <c r="AT110" s="577"/>
      <c r="AU110" s="577"/>
      <c r="AV110" s="577"/>
      <c r="AW110" s="577"/>
      <c r="AX110" s="577"/>
      <c r="AY110" s="577"/>
      <c r="AZ110" s="577"/>
    </row>
    <row r="111" spans="1:52" ht="15.75" customHeight="1" x14ac:dyDescent="0.2">
      <c r="A111" s="577"/>
      <c r="B111" s="577"/>
      <c r="C111" s="577"/>
      <c r="D111" s="577"/>
      <c r="E111" s="577"/>
      <c r="F111" s="577"/>
      <c r="G111" s="577"/>
      <c r="H111" s="577"/>
      <c r="I111" s="577"/>
      <c r="J111" s="577"/>
      <c r="K111" s="577"/>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c r="AO111" s="577"/>
      <c r="AP111" s="577"/>
      <c r="AQ111" s="577"/>
      <c r="AR111" s="577"/>
      <c r="AS111" s="577"/>
      <c r="AT111" s="577"/>
      <c r="AU111" s="577"/>
      <c r="AV111" s="577"/>
      <c r="AW111" s="577"/>
      <c r="AX111" s="577"/>
      <c r="AY111" s="577"/>
      <c r="AZ111" s="577"/>
    </row>
    <row r="112" spans="1:52" ht="15.75" customHeight="1" x14ac:dyDescent="0.2">
      <c r="A112" s="577"/>
      <c r="B112" s="577"/>
      <c r="C112" s="577"/>
      <c r="D112" s="577"/>
      <c r="E112" s="577"/>
      <c r="F112" s="577"/>
      <c r="G112" s="577"/>
      <c r="H112" s="577"/>
      <c r="I112" s="577"/>
      <c r="J112" s="577"/>
      <c r="K112" s="577"/>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c r="AO112" s="577"/>
      <c r="AP112" s="577"/>
      <c r="AQ112" s="577"/>
      <c r="AR112" s="577"/>
      <c r="AS112" s="577"/>
      <c r="AT112" s="577"/>
      <c r="AU112" s="577"/>
      <c r="AV112" s="577"/>
      <c r="AW112" s="577"/>
      <c r="AX112" s="577"/>
      <c r="AY112" s="577"/>
      <c r="AZ112" s="577"/>
    </row>
    <row r="113" spans="1:52" ht="15.75" customHeight="1" x14ac:dyDescent="0.2">
      <c r="A113" s="577"/>
      <c r="B113" s="577"/>
      <c r="C113" s="577"/>
      <c r="D113" s="577"/>
      <c r="E113" s="577"/>
      <c r="F113" s="577"/>
      <c r="G113" s="577"/>
      <c r="H113" s="577"/>
      <c r="I113" s="577"/>
      <c r="J113" s="577"/>
      <c r="K113" s="577"/>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c r="AO113" s="577"/>
      <c r="AP113" s="577"/>
      <c r="AQ113" s="577"/>
      <c r="AR113" s="577"/>
      <c r="AS113" s="577"/>
      <c r="AT113" s="577"/>
      <c r="AU113" s="577"/>
      <c r="AV113" s="577"/>
      <c r="AW113" s="577"/>
      <c r="AX113" s="577"/>
      <c r="AY113" s="577"/>
      <c r="AZ113" s="577"/>
    </row>
    <row r="114" spans="1:52" ht="15.75" customHeight="1" x14ac:dyDescent="0.2">
      <c r="A114" s="577"/>
      <c r="B114" s="577"/>
      <c r="C114" s="577"/>
      <c r="D114" s="577"/>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c r="AO114" s="577"/>
      <c r="AP114" s="577"/>
      <c r="AQ114" s="577"/>
      <c r="AR114" s="577"/>
      <c r="AS114" s="577"/>
      <c r="AT114" s="577"/>
      <c r="AU114" s="577"/>
      <c r="AV114" s="577"/>
      <c r="AW114" s="577"/>
      <c r="AX114" s="577"/>
      <c r="AY114" s="577"/>
      <c r="AZ114" s="577"/>
    </row>
    <row r="115" spans="1:52" ht="15.75" customHeight="1" x14ac:dyDescent="0.2">
      <c r="A115" s="577"/>
      <c r="B115" s="577"/>
      <c r="C115" s="577"/>
      <c r="D115" s="577"/>
      <c r="E115" s="577"/>
      <c r="F115" s="577"/>
      <c r="G115" s="577"/>
      <c r="H115" s="577"/>
      <c r="I115" s="577"/>
      <c r="J115" s="577"/>
      <c r="K115" s="577"/>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c r="AO115" s="577"/>
      <c r="AP115" s="577"/>
      <c r="AQ115" s="577"/>
      <c r="AR115" s="577"/>
      <c r="AS115" s="577"/>
      <c r="AT115" s="577"/>
      <c r="AU115" s="577"/>
      <c r="AV115" s="577"/>
      <c r="AW115" s="577"/>
      <c r="AX115" s="577"/>
      <c r="AY115" s="577"/>
      <c r="AZ115" s="577"/>
    </row>
    <row r="116" spans="1:52" ht="15.75" customHeight="1" x14ac:dyDescent="0.2">
      <c r="A116" s="577"/>
      <c r="B116" s="577"/>
      <c r="C116" s="577"/>
      <c r="D116" s="577"/>
      <c r="E116" s="577"/>
      <c r="F116" s="577"/>
      <c r="G116" s="577"/>
      <c r="H116" s="577"/>
      <c r="I116" s="577"/>
      <c r="J116" s="577"/>
      <c r="K116" s="577"/>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c r="AO116" s="577"/>
      <c r="AP116" s="577"/>
      <c r="AQ116" s="577"/>
      <c r="AR116" s="577"/>
      <c r="AS116" s="577"/>
      <c r="AT116" s="577"/>
      <c r="AU116" s="577"/>
      <c r="AV116" s="577"/>
      <c r="AW116" s="577"/>
      <c r="AX116" s="577"/>
      <c r="AY116" s="577"/>
      <c r="AZ116" s="577"/>
    </row>
    <row r="117" spans="1:52" ht="15.75" customHeight="1" x14ac:dyDescent="0.2">
      <c r="A117" s="577"/>
      <c r="B117" s="577"/>
      <c r="C117" s="577"/>
      <c r="D117" s="577"/>
      <c r="E117" s="577"/>
      <c r="F117" s="577"/>
      <c r="G117" s="577"/>
      <c r="H117" s="577"/>
      <c r="I117" s="577"/>
      <c r="J117" s="577"/>
      <c r="K117" s="577"/>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c r="AO117" s="577"/>
      <c r="AP117" s="577"/>
      <c r="AQ117" s="577"/>
      <c r="AR117" s="577"/>
      <c r="AS117" s="577"/>
      <c r="AT117" s="577"/>
      <c r="AU117" s="577"/>
      <c r="AV117" s="577"/>
      <c r="AW117" s="577"/>
      <c r="AX117" s="577"/>
      <c r="AY117" s="577"/>
      <c r="AZ117" s="577"/>
    </row>
    <row r="118" spans="1:52" ht="15.75" customHeight="1" x14ac:dyDescent="0.2">
      <c r="A118" s="577"/>
      <c r="B118" s="577"/>
      <c r="C118" s="577"/>
      <c r="D118" s="577"/>
      <c r="E118" s="577"/>
      <c r="F118" s="577"/>
      <c r="G118" s="577"/>
      <c r="H118" s="577"/>
      <c r="I118" s="577"/>
      <c r="J118" s="577"/>
      <c r="K118" s="577"/>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c r="AO118" s="577"/>
      <c r="AP118" s="577"/>
      <c r="AQ118" s="577"/>
      <c r="AR118" s="577"/>
      <c r="AS118" s="577"/>
      <c r="AT118" s="577"/>
      <c r="AU118" s="577"/>
      <c r="AV118" s="577"/>
      <c r="AW118" s="577"/>
      <c r="AX118" s="577"/>
      <c r="AY118" s="577"/>
      <c r="AZ118" s="577"/>
    </row>
    <row r="119" spans="1:52" ht="15.75" customHeight="1" x14ac:dyDescent="0.2">
      <c r="A119" s="577"/>
      <c r="B119" s="577"/>
      <c r="C119" s="577"/>
      <c r="D119" s="577"/>
      <c r="E119" s="577"/>
      <c r="F119" s="577"/>
      <c r="G119" s="577"/>
      <c r="H119" s="577"/>
      <c r="I119" s="577"/>
      <c r="J119" s="577"/>
      <c r="K119" s="577"/>
      <c r="L119" s="577"/>
      <c r="M119" s="577"/>
      <c r="N119" s="577"/>
      <c r="O119" s="577"/>
      <c r="P119" s="577"/>
      <c r="Q119" s="577"/>
      <c r="R119" s="577"/>
      <c r="S119" s="577"/>
      <c r="T119" s="577"/>
      <c r="U119" s="577"/>
      <c r="V119" s="577"/>
      <c r="W119" s="577"/>
      <c r="X119" s="577"/>
      <c r="Y119" s="577"/>
      <c r="Z119" s="577"/>
      <c r="AA119" s="577"/>
      <c r="AB119" s="577"/>
      <c r="AC119" s="577"/>
      <c r="AD119" s="577"/>
      <c r="AE119" s="577"/>
      <c r="AF119" s="577"/>
      <c r="AG119" s="577"/>
      <c r="AH119" s="577"/>
      <c r="AI119" s="577"/>
      <c r="AJ119" s="577"/>
      <c r="AK119" s="577"/>
      <c r="AL119" s="577"/>
      <c r="AM119" s="577"/>
      <c r="AN119" s="577"/>
      <c r="AO119" s="577"/>
      <c r="AP119" s="577"/>
      <c r="AQ119" s="577"/>
      <c r="AR119" s="577"/>
      <c r="AS119" s="577"/>
      <c r="AT119" s="577"/>
      <c r="AU119" s="577"/>
      <c r="AV119" s="577"/>
      <c r="AW119" s="577"/>
      <c r="AX119" s="577"/>
      <c r="AY119" s="577"/>
      <c r="AZ119" s="577"/>
    </row>
    <row r="120" spans="1:52" ht="15.75" customHeight="1" x14ac:dyDescent="0.2">
      <c r="A120" s="577"/>
      <c r="B120" s="577"/>
      <c r="C120" s="577"/>
      <c r="D120" s="577"/>
      <c r="E120" s="577"/>
      <c r="F120" s="577"/>
      <c r="G120" s="577"/>
      <c r="H120" s="577"/>
      <c r="I120" s="577"/>
      <c r="J120" s="577"/>
      <c r="K120" s="577"/>
      <c r="L120" s="577"/>
      <c r="M120" s="577"/>
      <c r="N120" s="577"/>
      <c r="O120" s="577"/>
      <c r="P120" s="577"/>
      <c r="Q120" s="577"/>
      <c r="R120" s="577"/>
      <c r="S120" s="577"/>
      <c r="T120" s="577"/>
      <c r="U120" s="577"/>
      <c r="V120" s="577"/>
      <c r="W120" s="577"/>
      <c r="X120" s="577"/>
      <c r="Y120" s="577"/>
      <c r="Z120" s="577"/>
      <c r="AA120" s="577"/>
      <c r="AB120" s="577"/>
      <c r="AC120" s="577"/>
      <c r="AD120" s="577"/>
      <c r="AE120" s="577"/>
      <c r="AF120" s="577"/>
      <c r="AG120" s="577"/>
      <c r="AH120" s="577"/>
      <c r="AI120" s="577"/>
      <c r="AJ120" s="577"/>
      <c r="AK120" s="577"/>
      <c r="AL120" s="577"/>
      <c r="AM120" s="577"/>
      <c r="AN120" s="577"/>
      <c r="AO120" s="577"/>
      <c r="AP120" s="577"/>
      <c r="AQ120" s="577"/>
      <c r="AR120" s="577"/>
      <c r="AS120" s="577"/>
      <c r="AT120" s="577"/>
      <c r="AU120" s="577"/>
      <c r="AV120" s="577"/>
      <c r="AW120" s="577"/>
      <c r="AX120" s="577"/>
      <c r="AY120" s="577"/>
      <c r="AZ120" s="577"/>
    </row>
    <row r="121" spans="1:52" ht="15.75" customHeight="1" x14ac:dyDescent="0.2">
      <c r="A121" s="577"/>
      <c r="B121" s="577"/>
      <c r="C121" s="577"/>
      <c r="D121" s="577"/>
      <c r="E121" s="577"/>
      <c r="F121" s="577"/>
      <c r="G121" s="577"/>
      <c r="H121" s="577"/>
      <c r="I121" s="577"/>
      <c r="J121" s="577"/>
      <c r="K121" s="577"/>
      <c r="L121" s="577"/>
      <c r="M121" s="577"/>
      <c r="N121" s="577"/>
      <c r="O121" s="577"/>
      <c r="P121" s="577"/>
      <c r="Q121" s="577"/>
      <c r="R121" s="577"/>
      <c r="S121" s="577"/>
      <c r="T121" s="577"/>
      <c r="U121" s="577"/>
      <c r="V121" s="577"/>
      <c r="W121" s="577"/>
      <c r="X121" s="577"/>
      <c r="Y121" s="577"/>
      <c r="Z121" s="577"/>
      <c r="AA121" s="577"/>
      <c r="AB121" s="577"/>
      <c r="AC121" s="577"/>
      <c r="AD121" s="577"/>
      <c r="AE121" s="577"/>
      <c r="AF121" s="577"/>
      <c r="AG121" s="577"/>
      <c r="AH121" s="577"/>
      <c r="AI121" s="577"/>
      <c r="AJ121" s="577"/>
      <c r="AK121" s="577"/>
      <c r="AL121" s="577"/>
      <c r="AM121" s="577"/>
      <c r="AN121" s="577"/>
      <c r="AO121" s="577"/>
      <c r="AP121" s="577"/>
      <c r="AQ121" s="577"/>
      <c r="AR121" s="577"/>
      <c r="AS121" s="577"/>
      <c r="AT121" s="577"/>
      <c r="AU121" s="577"/>
      <c r="AV121" s="577"/>
      <c r="AW121" s="577"/>
      <c r="AX121" s="577"/>
      <c r="AY121" s="577"/>
      <c r="AZ121" s="577"/>
    </row>
    <row r="122" spans="1:52" ht="15.75" customHeight="1" x14ac:dyDescent="0.2">
      <c r="A122" s="577"/>
      <c r="B122" s="577"/>
      <c r="C122" s="577"/>
      <c r="D122" s="577"/>
      <c r="E122" s="577"/>
      <c r="F122" s="577"/>
      <c r="G122" s="577"/>
      <c r="H122" s="577"/>
      <c r="I122" s="577"/>
      <c r="J122" s="577"/>
      <c r="K122" s="577"/>
      <c r="L122" s="577"/>
      <c r="M122" s="577"/>
      <c r="N122" s="577"/>
      <c r="O122" s="577"/>
      <c r="P122" s="577"/>
      <c r="Q122" s="577"/>
      <c r="R122" s="577"/>
      <c r="S122" s="577"/>
      <c r="T122" s="577"/>
      <c r="U122" s="577"/>
      <c r="V122" s="577"/>
      <c r="W122" s="577"/>
      <c r="X122" s="577"/>
      <c r="Y122" s="577"/>
      <c r="Z122" s="577"/>
      <c r="AA122" s="577"/>
      <c r="AB122" s="577"/>
      <c r="AC122" s="577"/>
      <c r="AD122" s="577"/>
      <c r="AE122" s="577"/>
      <c r="AF122" s="577"/>
      <c r="AG122" s="577"/>
      <c r="AH122" s="577"/>
      <c r="AI122" s="577"/>
      <c r="AJ122" s="577"/>
      <c r="AK122" s="577"/>
      <c r="AL122" s="577"/>
      <c r="AM122" s="577"/>
      <c r="AN122" s="577"/>
      <c r="AO122" s="577"/>
      <c r="AP122" s="577"/>
      <c r="AQ122" s="577"/>
      <c r="AR122" s="577"/>
      <c r="AS122" s="577"/>
      <c r="AT122" s="577"/>
      <c r="AU122" s="577"/>
      <c r="AV122" s="577"/>
      <c r="AW122" s="577"/>
      <c r="AX122" s="577"/>
      <c r="AY122" s="577"/>
      <c r="AZ122" s="577"/>
    </row>
    <row r="123" spans="1:52" ht="15.75" customHeight="1" x14ac:dyDescent="0.2">
      <c r="A123" s="577"/>
      <c r="B123" s="577"/>
      <c r="C123" s="577"/>
      <c r="D123" s="577"/>
      <c r="E123" s="577"/>
      <c r="F123" s="577"/>
      <c r="G123" s="577"/>
      <c r="H123" s="577"/>
      <c r="I123" s="577"/>
      <c r="J123" s="577"/>
      <c r="K123" s="577"/>
      <c r="L123" s="577"/>
      <c r="M123" s="577"/>
      <c r="N123" s="577"/>
      <c r="O123" s="577"/>
      <c r="P123" s="577"/>
      <c r="Q123" s="577"/>
      <c r="R123" s="577"/>
      <c r="S123" s="577"/>
      <c r="T123" s="577"/>
      <c r="U123" s="577"/>
      <c r="V123" s="577"/>
      <c r="W123" s="577"/>
      <c r="X123" s="577"/>
      <c r="Y123" s="577"/>
      <c r="Z123" s="577"/>
      <c r="AA123" s="577"/>
      <c r="AB123" s="577"/>
      <c r="AC123" s="577"/>
      <c r="AD123" s="577"/>
      <c r="AE123" s="577"/>
      <c r="AF123" s="577"/>
      <c r="AG123" s="577"/>
      <c r="AH123" s="577"/>
      <c r="AI123" s="577"/>
      <c r="AJ123" s="577"/>
      <c r="AK123" s="577"/>
      <c r="AL123" s="577"/>
      <c r="AM123" s="577"/>
      <c r="AN123" s="577"/>
      <c r="AO123" s="577"/>
      <c r="AP123" s="577"/>
      <c r="AQ123" s="577"/>
      <c r="AR123" s="577"/>
      <c r="AS123" s="577"/>
      <c r="AT123" s="577"/>
      <c r="AU123" s="577"/>
      <c r="AV123" s="577"/>
      <c r="AW123" s="577"/>
      <c r="AX123" s="577"/>
      <c r="AY123" s="577"/>
      <c r="AZ123" s="577"/>
    </row>
    <row r="124" spans="1:52" ht="15.75" customHeight="1" x14ac:dyDescent="0.2">
      <c r="A124" s="577"/>
      <c r="B124" s="577"/>
      <c r="C124" s="577"/>
      <c r="D124" s="577"/>
      <c r="E124" s="577"/>
      <c r="F124" s="577"/>
      <c r="G124" s="577"/>
      <c r="H124" s="577"/>
      <c r="I124" s="577"/>
      <c r="J124" s="577"/>
      <c r="K124" s="577"/>
      <c r="L124" s="577"/>
      <c r="M124" s="577"/>
      <c r="N124" s="577"/>
      <c r="O124" s="577"/>
      <c r="P124" s="577"/>
      <c r="Q124" s="577"/>
      <c r="R124" s="577"/>
      <c r="S124" s="577"/>
      <c r="T124" s="577"/>
      <c r="U124" s="577"/>
      <c r="V124" s="577"/>
      <c r="W124" s="577"/>
      <c r="X124" s="577"/>
      <c r="Y124" s="577"/>
      <c r="Z124" s="577"/>
      <c r="AA124" s="577"/>
      <c r="AB124" s="577"/>
      <c r="AC124" s="577"/>
      <c r="AD124" s="577"/>
      <c r="AE124" s="577"/>
      <c r="AF124" s="577"/>
      <c r="AG124" s="577"/>
      <c r="AH124" s="577"/>
      <c r="AI124" s="577"/>
      <c r="AJ124" s="577"/>
      <c r="AK124" s="577"/>
      <c r="AL124" s="577"/>
      <c r="AM124" s="577"/>
      <c r="AN124" s="577"/>
      <c r="AO124" s="577"/>
      <c r="AP124" s="577"/>
      <c r="AQ124" s="577"/>
      <c r="AR124" s="577"/>
      <c r="AS124" s="577"/>
      <c r="AT124" s="577"/>
      <c r="AU124" s="577"/>
      <c r="AV124" s="577"/>
      <c r="AW124" s="577"/>
      <c r="AX124" s="577"/>
      <c r="AY124" s="577"/>
      <c r="AZ124" s="577"/>
    </row>
    <row r="125" spans="1:52" ht="15.75" customHeight="1" x14ac:dyDescent="0.2">
      <c r="A125" s="577"/>
      <c r="B125" s="577"/>
      <c r="C125" s="577"/>
      <c r="D125" s="577"/>
      <c r="E125" s="577"/>
      <c r="F125" s="577"/>
      <c r="G125" s="577"/>
      <c r="H125" s="577"/>
      <c r="I125" s="577"/>
      <c r="J125" s="577"/>
      <c r="K125" s="577"/>
      <c r="L125" s="577"/>
      <c r="M125" s="577"/>
      <c r="N125" s="577"/>
      <c r="O125" s="577"/>
      <c r="P125" s="577"/>
      <c r="Q125" s="577"/>
      <c r="R125" s="577"/>
      <c r="S125" s="577"/>
      <c r="T125" s="577"/>
      <c r="U125" s="577"/>
      <c r="V125" s="577"/>
      <c r="W125" s="577"/>
      <c r="X125" s="577"/>
      <c r="Y125" s="577"/>
      <c r="Z125" s="577"/>
      <c r="AA125" s="577"/>
      <c r="AB125" s="577"/>
      <c r="AC125" s="577"/>
      <c r="AD125" s="577"/>
      <c r="AE125" s="577"/>
      <c r="AF125" s="577"/>
      <c r="AG125" s="577"/>
      <c r="AH125" s="577"/>
      <c r="AI125" s="577"/>
      <c r="AJ125" s="577"/>
      <c r="AK125" s="577"/>
      <c r="AL125" s="577"/>
      <c r="AM125" s="577"/>
      <c r="AN125" s="577"/>
      <c r="AO125" s="577"/>
      <c r="AP125" s="577"/>
      <c r="AQ125" s="577"/>
      <c r="AR125" s="577"/>
      <c r="AS125" s="577"/>
      <c r="AT125" s="577"/>
      <c r="AU125" s="577"/>
      <c r="AV125" s="577"/>
      <c r="AW125" s="577"/>
      <c r="AX125" s="577"/>
      <c r="AY125" s="577"/>
      <c r="AZ125" s="577"/>
    </row>
    <row r="126" spans="1:52" ht="15.75" customHeight="1" x14ac:dyDescent="0.2">
      <c r="A126" s="577"/>
      <c r="B126" s="577"/>
      <c r="C126" s="577"/>
      <c r="D126" s="577"/>
      <c r="E126" s="577"/>
      <c r="F126" s="577"/>
      <c r="G126" s="577"/>
      <c r="H126" s="577"/>
      <c r="I126" s="577"/>
      <c r="J126" s="577"/>
      <c r="K126" s="577"/>
      <c r="L126" s="577"/>
      <c r="M126" s="577"/>
      <c r="N126" s="577"/>
      <c r="O126" s="577"/>
      <c r="P126" s="577"/>
      <c r="Q126" s="577"/>
      <c r="R126" s="577"/>
      <c r="S126" s="577"/>
      <c r="T126" s="577"/>
      <c r="U126" s="577"/>
      <c r="V126" s="577"/>
      <c r="W126" s="577"/>
      <c r="X126" s="577"/>
      <c r="Y126" s="577"/>
      <c r="Z126" s="577"/>
      <c r="AA126" s="577"/>
      <c r="AB126" s="577"/>
      <c r="AC126" s="577"/>
      <c r="AD126" s="577"/>
      <c r="AE126" s="577"/>
      <c r="AF126" s="577"/>
      <c r="AG126" s="577"/>
      <c r="AH126" s="577"/>
      <c r="AI126" s="577"/>
      <c r="AJ126" s="577"/>
      <c r="AK126" s="577"/>
      <c r="AL126" s="577"/>
      <c r="AM126" s="577"/>
      <c r="AN126" s="577"/>
      <c r="AO126" s="577"/>
      <c r="AP126" s="577"/>
      <c r="AQ126" s="577"/>
      <c r="AR126" s="577"/>
      <c r="AS126" s="577"/>
      <c r="AT126" s="577"/>
      <c r="AU126" s="577"/>
      <c r="AV126" s="577"/>
      <c r="AW126" s="577"/>
      <c r="AX126" s="577"/>
      <c r="AY126" s="577"/>
      <c r="AZ126" s="577"/>
    </row>
    <row r="127" spans="1:52" ht="15.75" customHeight="1" x14ac:dyDescent="0.2">
      <c r="A127" s="577"/>
      <c r="B127" s="577"/>
      <c r="C127" s="577"/>
      <c r="D127" s="577"/>
      <c r="E127" s="577"/>
      <c r="F127" s="577"/>
      <c r="G127" s="577"/>
      <c r="H127" s="577"/>
      <c r="I127" s="577"/>
      <c r="J127" s="577"/>
      <c r="K127" s="577"/>
      <c r="L127" s="577"/>
      <c r="M127" s="577"/>
      <c r="N127" s="577"/>
      <c r="O127" s="577"/>
      <c r="P127" s="577"/>
      <c r="Q127" s="577"/>
      <c r="R127" s="577"/>
      <c r="S127" s="577"/>
      <c r="T127" s="577"/>
      <c r="U127" s="577"/>
      <c r="V127" s="577"/>
      <c r="W127" s="577"/>
      <c r="X127" s="577"/>
      <c r="Y127" s="577"/>
      <c r="Z127" s="577"/>
      <c r="AA127" s="577"/>
      <c r="AB127" s="577"/>
      <c r="AC127" s="577"/>
      <c r="AD127" s="577"/>
      <c r="AE127" s="577"/>
      <c r="AF127" s="577"/>
      <c r="AG127" s="577"/>
      <c r="AH127" s="577"/>
      <c r="AI127" s="577"/>
      <c r="AJ127" s="577"/>
      <c r="AK127" s="577"/>
      <c r="AL127" s="577"/>
      <c r="AM127" s="577"/>
      <c r="AN127" s="577"/>
      <c r="AO127" s="577"/>
      <c r="AP127" s="577"/>
      <c r="AQ127" s="577"/>
      <c r="AR127" s="577"/>
      <c r="AS127" s="577"/>
      <c r="AT127" s="577"/>
      <c r="AU127" s="577"/>
      <c r="AV127" s="577"/>
      <c r="AW127" s="577"/>
      <c r="AX127" s="577"/>
      <c r="AY127" s="577"/>
      <c r="AZ127" s="577"/>
    </row>
    <row r="128" spans="1:52" ht="15.75" customHeight="1" x14ac:dyDescent="0.2">
      <c r="A128" s="577"/>
      <c r="B128" s="577"/>
      <c r="C128" s="577"/>
      <c r="D128" s="577"/>
      <c r="E128" s="577"/>
      <c r="F128" s="577"/>
      <c r="G128" s="577"/>
      <c r="H128" s="577"/>
      <c r="I128" s="577"/>
      <c r="J128" s="577"/>
      <c r="K128" s="577"/>
      <c r="L128" s="577"/>
      <c r="M128" s="577"/>
      <c r="N128" s="577"/>
      <c r="O128" s="577"/>
      <c r="P128" s="577"/>
      <c r="Q128" s="577"/>
      <c r="R128" s="577"/>
      <c r="S128" s="577"/>
      <c r="T128" s="577"/>
      <c r="U128" s="577"/>
      <c r="V128" s="577"/>
      <c r="W128" s="577"/>
      <c r="X128" s="577"/>
      <c r="Y128" s="577"/>
      <c r="Z128" s="577"/>
      <c r="AA128" s="577"/>
      <c r="AB128" s="577"/>
      <c r="AC128" s="577"/>
      <c r="AD128" s="577"/>
      <c r="AE128" s="577"/>
      <c r="AF128" s="577"/>
      <c r="AG128" s="577"/>
      <c r="AH128" s="577"/>
      <c r="AI128" s="577"/>
      <c r="AJ128" s="577"/>
      <c r="AK128" s="577"/>
      <c r="AL128" s="577"/>
      <c r="AM128" s="577"/>
      <c r="AN128" s="577"/>
      <c r="AO128" s="577"/>
      <c r="AP128" s="577"/>
      <c r="AQ128" s="577"/>
      <c r="AR128" s="577"/>
      <c r="AS128" s="577"/>
      <c r="AT128" s="577"/>
      <c r="AU128" s="577"/>
      <c r="AV128" s="577"/>
      <c r="AW128" s="577"/>
      <c r="AX128" s="577"/>
      <c r="AY128" s="577"/>
      <c r="AZ128" s="577"/>
    </row>
    <row r="129" spans="1:52" ht="15.75" customHeight="1" x14ac:dyDescent="0.2">
      <c r="A129" s="577"/>
      <c r="B129" s="577"/>
      <c r="C129" s="577"/>
      <c r="D129" s="577"/>
      <c r="E129" s="577"/>
      <c r="F129" s="577"/>
      <c r="G129" s="577"/>
      <c r="H129" s="577"/>
      <c r="I129" s="577"/>
      <c r="J129" s="577"/>
      <c r="K129" s="577"/>
      <c r="L129" s="577"/>
      <c r="M129" s="577"/>
      <c r="N129" s="577"/>
      <c r="O129" s="577"/>
      <c r="P129" s="577"/>
      <c r="Q129" s="577"/>
      <c r="R129" s="577"/>
      <c r="S129" s="577"/>
      <c r="T129" s="577"/>
      <c r="U129" s="577"/>
      <c r="V129" s="577"/>
      <c r="W129" s="577"/>
      <c r="X129" s="577"/>
      <c r="Y129" s="577"/>
      <c r="Z129" s="577"/>
      <c r="AA129" s="577"/>
      <c r="AB129" s="577"/>
      <c r="AC129" s="577"/>
      <c r="AD129" s="577"/>
      <c r="AE129" s="577"/>
      <c r="AF129" s="577"/>
      <c r="AG129" s="577"/>
      <c r="AH129" s="577"/>
      <c r="AI129" s="577"/>
      <c r="AJ129" s="577"/>
      <c r="AK129" s="577"/>
      <c r="AL129" s="577"/>
      <c r="AM129" s="577"/>
      <c r="AN129" s="577"/>
      <c r="AO129" s="577"/>
      <c r="AP129" s="577"/>
      <c r="AQ129" s="577"/>
      <c r="AR129" s="577"/>
      <c r="AS129" s="577"/>
      <c r="AT129" s="577"/>
      <c r="AU129" s="577"/>
      <c r="AV129" s="577"/>
      <c r="AW129" s="577"/>
      <c r="AX129" s="577"/>
      <c r="AY129" s="577"/>
      <c r="AZ129" s="577"/>
    </row>
    <row r="130" spans="1:52" ht="15.75" customHeight="1" x14ac:dyDescent="0.2">
      <c r="A130" s="577"/>
      <c r="B130" s="577"/>
      <c r="C130" s="577"/>
      <c r="D130" s="577"/>
      <c r="E130" s="577"/>
      <c r="F130" s="577"/>
      <c r="G130" s="577"/>
      <c r="H130" s="577"/>
      <c r="I130" s="577"/>
      <c r="J130" s="577"/>
      <c r="K130" s="577"/>
      <c r="L130" s="577"/>
      <c r="M130" s="577"/>
      <c r="N130" s="577"/>
      <c r="O130" s="577"/>
      <c r="P130" s="577"/>
      <c r="Q130" s="577"/>
      <c r="R130" s="577"/>
      <c r="S130" s="577"/>
      <c r="T130" s="577"/>
      <c r="U130" s="577"/>
      <c r="V130" s="577"/>
      <c r="W130" s="577"/>
      <c r="X130" s="577"/>
      <c r="Y130" s="577"/>
      <c r="Z130" s="577"/>
      <c r="AA130" s="577"/>
      <c r="AB130" s="577"/>
      <c r="AC130" s="577"/>
      <c r="AD130" s="577"/>
      <c r="AE130" s="577"/>
      <c r="AF130" s="577"/>
      <c r="AG130" s="577"/>
      <c r="AH130" s="577"/>
      <c r="AI130" s="577"/>
      <c r="AJ130" s="577"/>
      <c r="AK130" s="577"/>
      <c r="AL130" s="577"/>
      <c r="AM130" s="577"/>
      <c r="AN130" s="577"/>
      <c r="AO130" s="577"/>
      <c r="AP130" s="577"/>
      <c r="AQ130" s="577"/>
      <c r="AR130" s="577"/>
      <c r="AS130" s="577"/>
      <c r="AT130" s="577"/>
      <c r="AU130" s="577"/>
      <c r="AV130" s="577"/>
      <c r="AW130" s="577"/>
      <c r="AX130" s="577"/>
      <c r="AY130" s="577"/>
      <c r="AZ130" s="577"/>
    </row>
    <row r="131" spans="1:52" ht="15.75" customHeight="1" x14ac:dyDescent="0.2">
      <c r="A131" s="577"/>
      <c r="B131" s="577"/>
      <c r="C131" s="577"/>
      <c r="D131" s="577"/>
      <c r="E131" s="577"/>
      <c r="F131" s="577"/>
      <c r="G131" s="577"/>
      <c r="H131" s="577"/>
      <c r="I131" s="577"/>
      <c r="J131" s="577"/>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7"/>
      <c r="AK131" s="577"/>
      <c r="AL131" s="577"/>
      <c r="AM131" s="577"/>
      <c r="AN131" s="577"/>
      <c r="AO131" s="577"/>
      <c r="AP131" s="577"/>
      <c r="AQ131" s="577"/>
      <c r="AR131" s="577"/>
      <c r="AS131" s="577"/>
      <c r="AT131" s="577"/>
      <c r="AU131" s="577"/>
      <c r="AV131" s="577"/>
      <c r="AW131" s="577"/>
      <c r="AX131" s="577"/>
      <c r="AY131" s="577"/>
      <c r="AZ131" s="577"/>
    </row>
    <row r="132" spans="1:52" ht="15.75" customHeight="1" x14ac:dyDescent="0.2">
      <c r="A132" s="577"/>
      <c r="B132" s="577"/>
      <c r="C132" s="577"/>
      <c r="D132" s="577"/>
      <c r="E132" s="577"/>
      <c r="F132" s="577"/>
      <c r="G132" s="577"/>
      <c r="H132" s="577"/>
      <c r="I132" s="577"/>
      <c r="J132" s="577"/>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7"/>
      <c r="AK132" s="577"/>
      <c r="AL132" s="577"/>
      <c r="AM132" s="577"/>
      <c r="AN132" s="577"/>
      <c r="AO132" s="577"/>
      <c r="AP132" s="577"/>
      <c r="AQ132" s="577"/>
      <c r="AR132" s="577"/>
      <c r="AS132" s="577"/>
      <c r="AT132" s="577"/>
      <c r="AU132" s="577"/>
      <c r="AV132" s="577"/>
      <c r="AW132" s="577"/>
      <c r="AX132" s="577"/>
      <c r="AY132" s="577"/>
      <c r="AZ132" s="577"/>
    </row>
    <row r="133" spans="1:52" ht="15.75" customHeight="1" x14ac:dyDescent="0.2">
      <c r="A133" s="577"/>
      <c r="B133" s="577"/>
      <c r="C133" s="577"/>
      <c r="D133" s="577"/>
      <c r="E133" s="577"/>
      <c r="F133" s="577"/>
      <c r="G133" s="577"/>
      <c r="H133" s="577"/>
      <c r="I133" s="577"/>
      <c r="J133" s="577"/>
      <c r="K133" s="577"/>
      <c r="L133" s="577"/>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7"/>
      <c r="AK133" s="577"/>
      <c r="AL133" s="577"/>
      <c r="AM133" s="577"/>
      <c r="AN133" s="577"/>
      <c r="AO133" s="577"/>
      <c r="AP133" s="577"/>
      <c r="AQ133" s="577"/>
      <c r="AR133" s="577"/>
      <c r="AS133" s="577"/>
      <c r="AT133" s="577"/>
      <c r="AU133" s="577"/>
      <c r="AV133" s="577"/>
      <c r="AW133" s="577"/>
      <c r="AX133" s="577"/>
      <c r="AY133" s="577"/>
      <c r="AZ133" s="577"/>
    </row>
    <row r="134" spans="1:52" ht="15.75" customHeight="1" x14ac:dyDescent="0.2">
      <c r="A134" s="577"/>
      <c r="B134" s="577"/>
      <c r="C134" s="577"/>
      <c r="D134" s="577"/>
      <c r="E134" s="577"/>
      <c r="F134" s="577"/>
      <c r="G134" s="577"/>
      <c r="H134" s="577"/>
      <c r="I134" s="577"/>
      <c r="J134" s="577"/>
      <c r="K134" s="577"/>
      <c r="L134" s="577"/>
      <c r="M134" s="577"/>
      <c r="N134" s="577"/>
      <c r="O134" s="577"/>
      <c r="P134" s="577"/>
      <c r="Q134" s="577"/>
      <c r="R134" s="577"/>
      <c r="S134" s="577"/>
      <c r="T134" s="577"/>
      <c r="U134" s="577"/>
      <c r="V134" s="577"/>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c r="AY134" s="577"/>
      <c r="AZ134" s="577"/>
    </row>
    <row r="135" spans="1:52" ht="15.75" customHeight="1" x14ac:dyDescent="0.2">
      <c r="A135" s="577"/>
      <c r="B135" s="577"/>
      <c r="C135" s="577"/>
      <c r="D135" s="577"/>
      <c r="E135" s="577"/>
      <c r="F135" s="577"/>
      <c r="G135" s="577"/>
      <c r="H135" s="577"/>
      <c r="I135" s="577"/>
      <c r="J135" s="577"/>
      <c r="K135" s="577"/>
      <c r="L135" s="577"/>
      <c r="M135" s="577"/>
      <c r="N135" s="577"/>
      <c r="O135" s="577"/>
      <c r="P135" s="577"/>
      <c r="Q135" s="577"/>
      <c r="R135" s="577"/>
      <c r="S135" s="577"/>
      <c r="T135" s="577"/>
      <c r="U135" s="577"/>
      <c r="V135" s="577"/>
      <c r="W135" s="577"/>
      <c r="X135" s="577"/>
      <c r="Y135" s="577"/>
      <c r="Z135" s="577"/>
      <c r="AA135" s="577"/>
      <c r="AB135" s="577"/>
      <c r="AC135" s="577"/>
      <c r="AD135" s="577"/>
      <c r="AE135" s="577"/>
      <c r="AF135" s="577"/>
      <c r="AG135" s="577"/>
      <c r="AH135" s="577"/>
      <c r="AI135" s="577"/>
      <c r="AJ135" s="577"/>
      <c r="AK135" s="577"/>
      <c r="AL135" s="577"/>
      <c r="AM135" s="577"/>
      <c r="AN135" s="577"/>
      <c r="AO135" s="577"/>
      <c r="AP135" s="577"/>
      <c r="AQ135" s="577"/>
      <c r="AR135" s="577"/>
      <c r="AS135" s="577"/>
      <c r="AT135" s="577"/>
      <c r="AU135" s="577"/>
      <c r="AV135" s="577"/>
      <c r="AW135" s="577"/>
      <c r="AX135" s="577"/>
      <c r="AY135" s="577"/>
      <c r="AZ135" s="577"/>
    </row>
    <row r="136" spans="1:52" ht="15.75" customHeight="1" x14ac:dyDescent="0.2">
      <c r="A136" s="577"/>
      <c r="B136" s="577"/>
      <c r="C136" s="577"/>
      <c r="D136" s="577"/>
      <c r="E136" s="577"/>
      <c r="F136" s="577"/>
      <c r="G136" s="577"/>
      <c r="H136" s="577"/>
      <c r="I136" s="577"/>
      <c r="J136" s="577"/>
      <c r="K136" s="577"/>
      <c r="L136" s="577"/>
      <c r="M136" s="577"/>
      <c r="N136" s="577"/>
      <c r="O136" s="577"/>
      <c r="P136" s="577"/>
      <c r="Q136" s="577"/>
      <c r="R136" s="577"/>
      <c r="S136" s="577"/>
      <c r="T136" s="577"/>
      <c r="U136" s="577"/>
      <c r="V136" s="577"/>
      <c r="W136" s="577"/>
      <c r="X136" s="577"/>
      <c r="Y136" s="577"/>
      <c r="Z136" s="577"/>
      <c r="AA136" s="577"/>
      <c r="AB136" s="577"/>
      <c r="AC136" s="577"/>
      <c r="AD136" s="577"/>
      <c r="AE136" s="577"/>
      <c r="AF136" s="577"/>
      <c r="AG136" s="577"/>
      <c r="AH136" s="577"/>
      <c r="AI136" s="577"/>
      <c r="AJ136" s="577"/>
      <c r="AK136" s="577"/>
      <c r="AL136" s="577"/>
      <c r="AM136" s="577"/>
      <c r="AN136" s="577"/>
      <c r="AO136" s="577"/>
      <c r="AP136" s="577"/>
      <c r="AQ136" s="577"/>
      <c r="AR136" s="577"/>
      <c r="AS136" s="577"/>
      <c r="AT136" s="577"/>
      <c r="AU136" s="577"/>
      <c r="AV136" s="577"/>
      <c r="AW136" s="577"/>
      <c r="AX136" s="577"/>
      <c r="AY136" s="577"/>
      <c r="AZ136" s="577"/>
    </row>
    <row r="137" spans="1:52" ht="15.75" customHeight="1" x14ac:dyDescent="0.2">
      <c r="A137" s="577"/>
      <c r="B137" s="577"/>
      <c r="C137" s="577"/>
      <c r="D137" s="577"/>
      <c r="E137" s="577"/>
      <c r="F137" s="577"/>
      <c r="G137" s="577"/>
      <c r="H137" s="577"/>
      <c r="I137" s="577"/>
      <c r="J137" s="577"/>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7"/>
      <c r="AK137" s="577"/>
      <c r="AL137" s="577"/>
      <c r="AM137" s="577"/>
      <c r="AN137" s="577"/>
      <c r="AO137" s="577"/>
      <c r="AP137" s="577"/>
      <c r="AQ137" s="577"/>
      <c r="AR137" s="577"/>
      <c r="AS137" s="577"/>
      <c r="AT137" s="577"/>
      <c r="AU137" s="577"/>
      <c r="AV137" s="577"/>
      <c r="AW137" s="577"/>
      <c r="AX137" s="577"/>
      <c r="AY137" s="577"/>
      <c r="AZ137" s="577"/>
    </row>
    <row r="138" spans="1:52" ht="15.75" customHeight="1" x14ac:dyDescent="0.2">
      <c r="A138" s="577"/>
      <c r="B138" s="577"/>
      <c r="C138" s="577"/>
      <c r="D138" s="577"/>
      <c r="E138" s="577"/>
      <c r="F138" s="577"/>
      <c r="G138" s="577"/>
      <c r="H138" s="577"/>
      <c r="I138" s="577"/>
      <c r="J138" s="577"/>
      <c r="K138" s="577"/>
      <c r="L138" s="577"/>
      <c r="M138" s="577"/>
      <c r="N138" s="577"/>
      <c r="O138" s="577"/>
      <c r="P138" s="577"/>
      <c r="Q138" s="577"/>
      <c r="R138" s="577"/>
      <c r="S138" s="577"/>
      <c r="T138" s="577"/>
      <c r="U138" s="577"/>
      <c r="V138" s="577"/>
      <c r="W138" s="577"/>
      <c r="X138" s="577"/>
      <c r="Y138" s="577"/>
      <c r="Z138" s="577"/>
      <c r="AA138" s="577"/>
      <c r="AB138" s="577"/>
      <c r="AC138" s="577"/>
      <c r="AD138" s="577"/>
      <c r="AE138" s="577"/>
      <c r="AF138" s="577"/>
      <c r="AG138" s="577"/>
      <c r="AH138" s="577"/>
      <c r="AI138" s="577"/>
      <c r="AJ138" s="577"/>
      <c r="AK138" s="577"/>
      <c r="AL138" s="577"/>
      <c r="AM138" s="577"/>
      <c r="AN138" s="577"/>
      <c r="AO138" s="577"/>
      <c r="AP138" s="577"/>
      <c r="AQ138" s="577"/>
      <c r="AR138" s="577"/>
      <c r="AS138" s="577"/>
      <c r="AT138" s="577"/>
      <c r="AU138" s="577"/>
      <c r="AV138" s="577"/>
      <c r="AW138" s="577"/>
      <c r="AX138" s="577"/>
      <c r="AY138" s="577"/>
      <c r="AZ138" s="577"/>
    </row>
    <row r="139" spans="1:52" ht="15.75" customHeight="1" x14ac:dyDescent="0.2">
      <c r="A139" s="577"/>
      <c r="B139" s="577"/>
      <c r="C139" s="577"/>
      <c r="D139" s="577"/>
      <c r="E139" s="577"/>
      <c r="F139" s="577"/>
      <c r="G139" s="577"/>
      <c r="H139" s="577"/>
      <c r="I139" s="577"/>
      <c r="J139" s="577"/>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7"/>
      <c r="AK139" s="577"/>
      <c r="AL139" s="577"/>
      <c r="AM139" s="577"/>
      <c r="AN139" s="577"/>
      <c r="AO139" s="577"/>
      <c r="AP139" s="577"/>
      <c r="AQ139" s="577"/>
      <c r="AR139" s="577"/>
      <c r="AS139" s="577"/>
      <c r="AT139" s="577"/>
      <c r="AU139" s="577"/>
      <c r="AV139" s="577"/>
      <c r="AW139" s="577"/>
      <c r="AX139" s="577"/>
      <c r="AY139" s="577"/>
      <c r="AZ139" s="577"/>
    </row>
    <row r="140" spans="1:52" ht="15.75" customHeight="1" x14ac:dyDescent="0.2">
      <c r="A140" s="577"/>
      <c r="B140" s="577"/>
      <c r="C140" s="577"/>
      <c r="D140" s="577"/>
      <c r="E140" s="577"/>
      <c r="F140" s="577"/>
      <c r="G140" s="577"/>
      <c r="H140" s="577"/>
      <c r="I140" s="577"/>
      <c r="J140" s="577"/>
      <c r="K140" s="577"/>
      <c r="L140" s="577"/>
      <c r="M140" s="577"/>
      <c r="N140" s="577"/>
      <c r="O140" s="577"/>
      <c r="P140" s="577"/>
      <c r="Q140" s="577"/>
      <c r="R140" s="577"/>
      <c r="S140" s="577"/>
      <c r="T140" s="577"/>
      <c r="U140" s="577"/>
      <c r="V140" s="577"/>
      <c r="W140" s="577"/>
      <c r="X140" s="577"/>
      <c r="Y140" s="577"/>
      <c r="Z140" s="577"/>
      <c r="AA140" s="577"/>
      <c r="AB140" s="577"/>
      <c r="AC140" s="577"/>
      <c r="AD140" s="577"/>
      <c r="AE140" s="577"/>
      <c r="AF140" s="577"/>
      <c r="AG140" s="577"/>
      <c r="AH140" s="577"/>
      <c r="AI140" s="577"/>
      <c r="AJ140" s="577"/>
      <c r="AK140" s="577"/>
      <c r="AL140" s="577"/>
      <c r="AM140" s="577"/>
      <c r="AN140" s="577"/>
      <c r="AO140" s="577"/>
      <c r="AP140" s="577"/>
      <c r="AQ140" s="577"/>
      <c r="AR140" s="577"/>
      <c r="AS140" s="577"/>
      <c r="AT140" s="577"/>
      <c r="AU140" s="577"/>
      <c r="AV140" s="577"/>
      <c r="AW140" s="577"/>
      <c r="AX140" s="577"/>
      <c r="AY140" s="577"/>
      <c r="AZ140" s="577"/>
    </row>
    <row r="141" spans="1:52" ht="15.75" customHeight="1" x14ac:dyDescent="0.2">
      <c r="A141" s="577"/>
      <c r="B141" s="577"/>
      <c r="C141" s="577"/>
      <c r="D141" s="577"/>
      <c r="E141" s="577"/>
      <c r="F141" s="577"/>
      <c r="G141" s="577"/>
      <c r="H141" s="577"/>
      <c r="I141" s="577"/>
      <c r="J141" s="577"/>
      <c r="K141" s="577"/>
      <c r="L141" s="577"/>
      <c r="M141" s="577"/>
      <c r="N141" s="577"/>
      <c r="O141" s="577"/>
      <c r="P141" s="577"/>
      <c r="Q141" s="577"/>
      <c r="R141" s="577"/>
      <c r="S141" s="577"/>
      <c r="T141" s="577"/>
      <c r="U141" s="577"/>
      <c r="V141" s="577"/>
      <c r="W141" s="577"/>
      <c r="X141" s="577"/>
      <c r="Y141" s="577"/>
      <c r="Z141" s="577"/>
      <c r="AA141" s="577"/>
      <c r="AB141" s="577"/>
      <c r="AC141" s="577"/>
      <c r="AD141" s="577"/>
      <c r="AE141" s="577"/>
      <c r="AF141" s="577"/>
      <c r="AG141" s="577"/>
      <c r="AH141" s="577"/>
      <c r="AI141" s="577"/>
      <c r="AJ141" s="577"/>
      <c r="AK141" s="577"/>
      <c r="AL141" s="577"/>
      <c r="AM141" s="577"/>
      <c r="AN141" s="577"/>
      <c r="AO141" s="577"/>
      <c r="AP141" s="577"/>
      <c r="AQ141" s="577"/>
      <c r="AR141" s="577"/>
      <c r="AS141" s="577"/>
      <c r="AT141" s="577"/>
      <c r="AU141" s="577"/>
      <c r="AV141" s="577"/>
      <c r="AW141" s="577"/>
      <c r="AX141" s="577"/>
      <c r="AY141" s="577"/>
      <c r="AZ141" s="577"/>
    </row>
    <row r="142" spans="1:52" ht="15.75" customHeight="1" x14ac:dyDescent="0.2">
      <c r="A142" s="577"/>
      <c r="B142" s="577"/>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E142" s="577"/>
      <c r="AF142" s="577"/>
      <c r="AG142" s="577"/>
      <c r="AH142" s="577"/>
      <c r="AI142" s="577"/>
      <c r="AJ142" s="577"/>
      <c r="AK142" s="577"/>
      <c r="AL142" s="577"/>
      <c r="AM142" s="577"/>
      <c r="AN142" s="577"/>
      <c r="AO142" s="577"/>
      <c r="AP142" s="577"/>
      <c r="AQ142" s="577"/>
      <c r="AR142" s="577"/>
      <c r="AS142" s="577"/>
      <c r="AT142" s="577"/>
      <c r="AU142" s="577"/>
      <c r="AV142" s="577"/>
      <c r="AW142" s="577"/>
      <c r="AX142" s="577"/>
      <c r="AY142" s="577"/>
      <c r="AZ142" s="577"/>
    </row>
    <row r="143" spans="1:52" ht="15.75" customHeight="1" x14ac:dyDescent="0.2">
      <c r="A143" s="577"/>
      <c r="B143" s="577"/>
      <c r="C143" s="577"/>
      <c r="D143" s="577"/>
      <c r="E143" s="577"/>
      <c r="F143" s="577"/>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c r="AJ143" s="577"/>
      <c r="AK143" s="577"/>
      <c r="AL143" s="577"/>
      <c r="AM143" s="577"/>
      <c r="AN143" s="577"/>
      <c r="AO143" s="577"/>
      <c r="AP143" s="577"/>
      <c r="AQ143" s="577"/>
      <c r="AR143" s="577"/>
      <c r="AS143" s="577"/>
      <c r="AT143" s="577"/>
      <c r="AU143" s="577"/>
      <c r="AV143" s="577"/>
      <c r="AW143" s="577"/>
      <c r="AX143" s="577"/>
      <c r="AY143" s="577"/>
      <c r="AZ143" s="577"/>
    </row>
    <row r="144" spans="1:52" ht="15.75" customHeight="1" x14ac:dyDescent="0.2">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c r="AJ144" s="577"/>
      <c r="AK144" s="577"/>
      <c r="AL144" s="577"/>
      <c r="AM144" s="577"/>
      <c r="AN144" s="577"/>
      <c r="AO144" s="577"/>
      <c r="AP144" s="577"/>
      <c r="AQ144" s="577"/>
      <c r="AR144" s="577"/>
      <c r="AS144" s="577"/>
      <c r="AT144" s="577"/>
      <c r="AU144" s="577"/>
      <c r="AV144" s="577"/>
      <c r="AW144" s="577"/>
      <c r="AX144" s="577"/>
      <c r="AY144" s="577"/>
      <c r="AZ144" s="577"/>
    </row>
    <row r="145" spans="1:52" ht="15.75" customHeight="1" x14ac:dyDescent="0.2">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c r="AJ145" s="577"/>
      <c r="AK145" s="577"/>
      <c r="AL145" s="577"/>
      <c r="AM145" s="577"/>
      <c r="AN145" s="577"/>
      <c r="AO145" s="577"/>
      <c r="AP145" s="577"/>
      <c r="AQ145" s="577"/>
      <c r="AR145" s="577"/>
      <c r="AS145" s="577"/>
      <c r="AT145" s="577"/>
      <c r="AU145" s="577"/>
      <c r="AV145" s="577"/>
      <c r="AW145" s="577"/>
      <c r="AX145" s="577"/>
      <c r="AY145" s="577"/>
      <c r="AZ145" s="577"/>
    </row>
    <row r="146" spans="1:52" ht="15.75" customHeight="1" x14ac:dyDescent="0.2">
      <c r="A146" s="577"/>
      <c r="B146" s="577"/>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7"/>
      <c r="AO146" s="577"/>
      <c r="AP146" s="577"/>
      <c r="AQ146" s="577"/>
      <c r="AR146" s="577"/>
      <c r="AS146" s="577"/>
      <c r="AT146" s="577"/>
      <c r="AU146" s="577"/>
      <c r="AV146" s="577"/>
      <c r="AW146" s="577"/>
      <c r="AX146" s="577"/>
      <c r="AY146" s="577"/>
      <c r="AZ146" s="577"/>
    </row>
    <row r="147" spans="1:52" ht="15.75" customHeight="1" x14ac:dyDescent="0.2">
      <c r="A147" s="577"/>
      <c r="B147" s="577"/>
      <c r="C147" s="577"/>
      <c r="D147" s="577"/>
      <c r="E147" s="577"/>
      <c r="F147" s="577"/>
      <c r="G147" s="577"/>
      <c r="H147" s="577"/>
      <c r="I147" s="577"/>
      <c r="J147" s="577"/>
      <c r="K147" s="577"/>
      <c r="L147" s="577"/>
      <c r="M147" s="577"/>
      <c r="N147" s="577"/>
      <c r="O147" s="577"/>
      <c r="P147" s="577"/>
      <c r="Q147" s="577"/>
      <c r="R147" s="577"/>
      <c r="S147" s="577"/>
      <c r="T147" s="577"/>
      <c r="U147" s="577"/>
      <c r="V147" s="577"/>
      <c r="W147" s="577"/>
      <c r="X147" s="577"/>
      <c r="Y147" s="577"/>
      <c r="Z147" s="577"/>
      <c r="AA147" s="577"/>
      <c r="AB147" s="577"/>
      <c r="AC147" s="577"/>
      <c r="AD147" s="577"/>
      <c r="AE147" s="577"/>
      <c r="AF147" s="577"/>
      <c r="AG147" s="577"/>
      <c r="AH147" s="577"/>
      <c r="AI147" s="577"/>
      <c r="AJ147" s="577"/>
      <c r="AK147" s="577"/>
      <c r="AL147" s="577"/>
      <c r="AM147" s="577"/>
      <c r="AN147" s="577"/>
      <c r="AO147" s="577"/>
      <c r="AP147" s="577"/>
      <c r="AQ147" s="577"/>
      <c r="AR147" s="577"/>
      <c r="AS147" s="577"/>
      <c r="AT147" s="577"/>
      <c r="AU147" s="577"/>
      <c r="AV147" s="577"/>
      <c r="AW147" s="577"/>
      <c r="AX147" s="577"/>
      <c r="AY147" s="577"/>
      <c r="AZ147" s="577"/>
    </row>
    <row r="148" spans="1:52" ht="15.75" customHeight="1" x14ac:dyDescent="0.2">
      <c r="A148" s="577"/>
      <c r="B148" s="577"/>
      <c r="C148" s="577"/>
      <c r="D148" s="577"/>
      <c r="E148" s="577"/>
      <c r="F148" s="577"/>
      <c r="G148" s="577"/>
      <c r="H148" s="577"/>
      <c r="I148" s="577"/>
      <c r="J148" s="577"/>
      <c r="K148" s="577"/>
      <c r="L148" s="577"/>
      <c r="M148" s="577"/>
      <c r="N148" s="577"/>
      <c r="O148" s="577"/>
      <c r="P148" s="577"/>
      <c r="Q148" s="577"/>
      <c r="R148" s="577"/>
      <c r="S148" s="577"/>
      <c r="T148" s="577"/>
      <c r="U148" s="577"/>
      <c r="V148" s="577"/>
      <c r="W148" s="577"/>
      <c r="X148" s="577"/>
      <c r="Y148" s="577"/>
      <c r="Z148" s="577"/>
      <c r="AA148" s="577"/>
      <c r="AB148" s="577"/>
      <c r="AC148" s="577"/>
      <c r="AD148" s="577"/>
      <c r="AE148" s="577"/>
      <c r="AF148" s="577"/>
      <c r="AG148" s="577"/>
      <c r="AH148" s="577"/>
      <c r="AI148" s="577"/>
      <c r="AJ148" s="577"/>
      <c r="AK148" s="577"/>
      <c r="AL148" s="577"/>
      <c r="AM148" s="577"/>
      <c r="AN148" s="577"/>
      <c r="AO148" s="577"/>
      <c r="AP148" s="577"/>
      <c r="AQ148" s="577"/>
      <c r="AR148" s="577"/>
      <c r="AS148" s="577"/>
      <c r="AT148" s="577"/>
      <c r="AU148" s="577"/>
      <c r="AV148" s="577"/>
      <c r="AW148" s="577"/>
      <c r="AX148" s="577"/>
      <c r="AY148" s="577"/>
      <c r="AZ148" s="577"/>
    </row>
    <row r="149" spans="1:52" ht="15.75" customHeight="1" x14ac:dyDescent="0.2">
      <c r="A149" s="577"/>
      <c r="B149" s="577"/>
      <c r="C149" s="577"/>
      <c r="D149" s="577"/>
      <c r="E149" s="577"/>
      <c r="F149" s="577"/>
      <c r="G149" s="577"/>
      <c r="H149" s="577"/>
      <c r="I149" s="577"/>
      <c r="J149" s="577"/>
      <c r="K149" s="577"/>
      <c r="L149" s="577"/>
      <c r="M149" s="577"/>
      <c r="N149" s="577"/>
      <c r="O149" s="577"/>
      <c r="P149" s="577"/>
      <c r="Q149" s="577"/>
      <c r="R149" s="577"/>
      <c r="S149" s="577"/>
      <c r="T149" s="577"/>
      <c r="U149" s="577"/>
      <c r="V149" s="577"/>
      <c r="W149" s="577"/>
      <c r="X149" s="577"/>
      <c r="Y149" s="577"/>
      <c r="Z149" s="577"/>
      <c r="AA149" s="577"/>
      <c r="AB149" s="577"/>
      <c r="AC149" s="577"/>
      <c r="AD149" s="577"/>
      <c r="AE149" s="577"/>
      <c r="AF149" s="577"/>
      <c r="AG149" s="577"/>
      <c r="AH149" s="577"/>
      <c r="AI149" s="577"/>
      <c r="AJ149" s="577"/>
      <c r="AK149" s="577"/>
      <c r="AL149" s="577"/>
      <c r="AM149" s="577"/>
      <c r="AN149" s="577"/>
      <c r="AO149" s="577"/>
      <c r="AP149" s="577"/>
      <c r="AQ149" s="577"/>
      <c r="AR149" s="577"/>
      <c r="AS149" s="577"/>
      <c r="AT149" s="577"/>
      <c r="AU149" s="577"/>
      <c r="AV149" s="577"/>
      <c r="AW149" s="577"/>
      <c r="AX149" s="577"/>
      <c r="AY149" s="577"/>
      <c r="AZ149" s="577"/>
    </row>
    <row r="150" spans="1:52" ht="15.75" customHeight="1" x14ac:dyDescent="0.2">
      <c r="A150" s="577"/>
      <c r="B150" s="577"/>
      <c r="C150" s="577"/>
      <c r="D150" s="577"/>
      <c r="E150" s="577"/>
      <c r="F150" s="577"/>
      <c r="G150" s="577"/>
      <c r="H150" s="577"/>
      <c r="I150" s="577"/>
      <c r="J150" s="577"/>
      <c r="K150" s="577"/>
      <c r="L150" s="577"/>
      <c r="M150" s="577"/>
      <c r="N150" s="577"/>
      <c r="O150" s="577"/>
      <c r="P150" s="577"/>
      <c r="Q150" s="577"/>
      <c r="R150" s="577"/>
      <c r="S150" s="577"/>
      <c r="T150" s="577"/>
      <c r="U150" s="577"/>
      <c r="V150" s="577"/>
      <c r="W150" s="577"/>
      <c r="X150" s="577"/>
      <c r="Y150" s="577"/>
      <c r="Z150" s="577"/>
      <c r="AA150" s="577"/>
      <c r="AB150" s="577"/>
      <c r="AC150" s="577"/>
      <c r="AD150" s="577"/>
      <c r="AE150" s="577"/>
      <c r="AF150" s="577"/>
      <c r="AG150" s="577"/>
      <c r="AH150" s="577"/>
      <c r="AI150" s="577"/>
      <c r="AJ150" s="577"/>
      <c r="AK150" s="577"/>
      <c r="AL150" s="577"/>
      <c r="AM150" s="577"/>
      <c r="AN150" s="577"/>
      <c r="AO150" s="577"/>
      <c r="AP150" s="577"/>
      <c r="AQ150" s="577"/>
      <c r="AR150" s="577"/>
      <c r="AS150" s="577"/>
      <c r="AT150" s="577"/>
      <c r="AU150" s="577"/>
      <c r="AV150" s="577"/>
      <c r="AW150" s="577"/>
      <c r="AX150" s="577"/>
      <c r="AY150" s="577"/>
      <c r="AZ150" s="577"/>
    </row>
    <row r="151" spans="1:52" ht="15.75" customHeight="1" x14ac:dyDescent="0.2">
      <c r="A151" s="577"/>
      <c r="B151" s="577"/>
      <c r="C151" s="577"/>
      <c r="D151" s="577"/>
      <c r="E151" s="577"/>
      <c r="F151" s="577"/>
      <c r="G151" s="577"/>
      <c r="H151" s="577"/>
      <c r="I151" s="577"/>
      <c r="J151" s="577"/>
      <c r="K151" s="577"/>
      <c r="L151" s="577"/>
      <c r="M151" s="577"/>
      <c r="N151" s="577"/>
      <c r="O151" s="577"/>
      <c r="P151" s="577"/>
      <c r="Q151" s="577"/>
      <c r="R151" s="577"/>
      <c r="S151" s="577"/>
      <c r="T151" s="577"/>
      <c r="U151" s="577"/>
      <c r="V151" s="577"/>
      <c r="W151" s="577"/>
      <c r="X151" s="577"/>
      <c r="Y151" s="577"/>
      <c r="Z151" s="577"/>
      <c r="AA151" s="577"/>
      <c r="AB151" s="577"/>
      <c r="AC151" s="577"/>
      <c r="AD151" s="577"/>
      <c r="AE151" s="577"/>
      <c r="AF151" s="577"/>
      <c r="AG151" s="577"/>
      <c r="AH151" s="577"/>
      <c r="AI151" s="577"/>
      <c r="AJ151" s="577"/>
      <c r="AK151" s="577"/>
      <c r="AL151" s="577"/>
      <c r="AM151" s="577"/>
      <c r="AN151" s="577"/>
      <c r="AO151" s="577"/>
      <c r="AP151" s="577"/>
      <c r="AQ151" s="577"/>
      <c r="AR151" s="577"/>
      <c r="AS151" s="577"/>
      <c r="AT151" s="577"/>
      <c r="AU151" s="577"/>
      <c r="AV151" s="577"/>
      <c r="AW151" s="577"/>
      <c r="AX151" s="577"/>
      <c r="AY151" s="577"/>
      <c r="AZ151" s="577"/>
    </row>
    <row r="152" spans="1:52" ht="15.75" customHeight="1" x14ac:dyDescent="0.2">
      <c r="A152" s="577"/>
      <c r="B152" s="577"/>
      <c r="C152" s="577"/>
      <c r="D152" s="577"/>
      <c r="E152" s="577"/>
      <c r="F152" s="577"/>
      <c r="G152" s="577"/>
      <c r="H152" s="577"/>
      <c r="I152" s="577"/>
      <c r="J152" s="577"/>
      <c r="K152" s="577"/>
      <c r="L152" s="577"/>
      <c r="M152" s="577"/>
      <c r="N152" s="577"/>
      <c r="O152" s="577"/>
      <c r="P152" s="577"/>
      <c r="Q152" s="577"/>
      <c r="R152" s="577"/>
      <c r="S152" s="577"/>
      <c r="T152" s="577"/>
      <c r="U152" s="577"/>
      <c r="V152" s="577"/>
      <c r="W152" s="577"/>
      <c r="X152" s="577"/>
      <c r="Y152" s="577"/>
      <c r="Z152" s="577"/>
      <c r="AA152" s="577"/>
      <c r="AB152" s="577"/>
      <c r="AC152" s="577"/>
      <c r="AD152" s="577"/>
      <c r="AE152" s="577"/>
      <c r="AF152" s="577"/>
      <c r="AG152" s="577"/>
      <c r="AH152" s="577"/>
      <c r="AI152" s="577"/>
      <c r="AJ152" s="577"/>
      <c r="AK152" s="577"/>
      <c r="AL152" s="577"/>
      <c r="AM152" s="577"/>
      <c r="AN152" s="577"/>
      <c r="AO152" s="577"/>
      <c r="AP152" s="577"/>
      <c r="AQ152" s="577"/>
      <c r="AR152" s="577"/>
      <c r="AS152" s="577"/>
      <c r="AT152" s="577"/>
      <c r="AU152" s="577"/>
      <c r="AV152" s="577"/>
      <c r="AW152" s="577"/>
      <c r="AX152" s="577"/>
      <c r="AY152" s="577"/>
      <c r="AZ152" s="577"/>
    </row>
    <row r="153" spans="1:52" ht="15.75" customHeight="1" x14ac:dyDescent="0.2">
      <c r="A153" s="577"/>
      <c r="B153" s="577"/>
      <c r="C153" s="577"/>
      <c r="D153" s="577"/>
      <c r="E153" s="577"/>
      <c r="F153" s="577"/>
      <c r="G153" s="577"/>
      <c r="H153" s="577"/>
      <c r="I153" s="577"/>
      <c r="J153" s="577"/>
      <c r="K153" s="577"/>
      <c r="L153" s="577"/>
      <c r="M153" s="577"/>
      <c r="N153" s="577"/>
      <c r="O153" s="577"/>
      <c r="P153" s="577"/>
      <c r="Q153" s="577"/>
      <c r="R153" s="577"/>
      <c r="S153" s="577"/>
      <c r="T153" s="577"/>
      <c r="U153" s="577"/>
      <c r="V153" s="577"/>
      <c r="W153" s="577"/>
      <c r="X153" s="577"/>
      <c r="Y153" s="577"/>
      <c r="Z153" s="577"/>
      <c r="AA153" s="577"/>
      <c r="AB153" s="577"/>
      <c r="AC153" s="577"/>
      <c r="AD153" s="577"/>
      <c r="AE153" s="577"/>
      <c r="AF153" s="577"/>
      <c r="AG153" s="577"/>
      <c r="AH153" s="577"/>
      <c r="AI153" s="577"/>
      <c r="AJ153" s="577"/>
      <c r="AK153" s="577"/>
      <c r="AL153" s="577"/>
      <c r="AM153" s="577"/>
      <c r="AN153" s="577"/>
      <c r="AO153" s="577"/>
      <c r="AP153" s="577"/>
      <c r="AQ153" s="577"/>
      <c r="AR153" s="577"/>
      <c r="AS153" s="577"/>
      <c r="AT153" s="577"/>
      <c r="AU153" s="577"/>
      <c r="AV153" s="577"/>
      <c r="AW153" s="577"/>
      <c r="AX153" s="577"/>
      <c r="AY153" s="577"/>
      <c r="AZ153" s="577"/>
    </row>
    <row r="154" spans="1:52" ht="15.75" customHeight="1" x14ac:dyDescent="0.2">
      <c r="A154" s="577"/>
      <c r="B154" s="577"/>
      <c r="C154" s="577"/>
      <c r="D154" s="577"/>
      <c r="E154" s="577"/>
      <c r="F154" s="577"/>
      <c r="G154" s="577"/>
      <c r="H154" s="577"/>
      <c r="I154" s="577"/>
      <c r="J154" s="577"/>
      <c r="K154" s="577"/>
      <c r="L154" s="577"/>
      <c r="M154" s="577"/>
      <c r="N154" s="577"/>
      <c r="O154" s="577"/>
      <c r="P154" s="577"/>
      <c r="Q154" s="577"/>
      <c r="R154" s="577"/>
      <c r="S154" s="577"/>
      <c r="T154" s="577"/>
      <c r="U154" s="577"/>
      <c r="V154" s="577"/>
      <c r="W154" s="577"/>
      <c r="X154" s="577"/>
      <c r="Y154" s="577"/>
      <c r="Z154" s="577"/>
      <c r="AA154" s="577"/>
      <c r="AB154" s="577"/>
      <c r="AC154" s="577"/>
      <c r="AD154" s="577"/>
      <c r="AE154" s="577"/>
      <c r="AF154" s="577"/>
      <c r="AG154" s="577"/>
      <c r="AH154" s="577"/>
      <c r="AI154" s="577"/>
      <c r="AJ154" s="577"/>
      <c r="AK154" s="577"/>
      <c r="AL154" s="577"/>
      <c r="AM154" s="577"/>
      <c r="AN154" s="577"/>
      <c r="AO154" s="577"/>
      <c r="AP154" s="577"/>
      <c r="AQ154" s="577"/>
      <c r="AR154" s="577"/>
      <c r="AS154" s="577"/>
      <c r="AT154" s="577"/>
      <c r="AU154" s="577"/>
      <c r="AV154" s="577"/>
      <c r="AW154" s="577"/>
      <c r="AX154" s="577"/>
      <c r="AY154" s="577"/>
      <c r="AZ154" s="577"/>
    </row>
    <row r="155" spans="1:52" ht="15.75" customHeight="1" x14ac:dyDescent="0.2">
      <c r="A155" s="577"/>
      <c r="B155" s="577"/>
      <c r="C155" s="577"/>
      <c r="D155" s="577"/>
      <c r="E155" s="577"/>
      <c r="F155" s="577"/>
      <c r="G155" s="577"/>
      <c r="H155" s="577"/>
      <c r="I155" s="577"/>
      <c r="J155" s="577"/>
      <c r="K155" s="577"/>
      <c r="L155" s="577"/>
      <c r="M155" s="577"/>
      <c r="N155" s="577"/>
      <c r="O155" s="577"/>
      <c r="P155" s="577"/>
      <c r="Q155" s="577"/>
      <c r="R155" s="577"/>
      <c r="S155" s="577"/>
      <c r="T155" s="577"/>
      <c r="U155" s="577"/>
      <c r="V155" s="577"/>
      <c r="W155" s="577"/>
      <c r="X155" s="577"/>
      <c r="Y155" s="577"/>
      <c r="Z155" s="577"/>
      <c r="AA155" s="577"/>
      <c r="AB155" s="577"/>
      <c r="AC155" s="577"/>
      <c r="AD155" s="577"/>
      <c r="AE155" s="577"/>
      <c r="AF155" s="577"/>
      <c r="AG155" s="577"/>
      <c r="AH155" s="577"/>
      <c r="AI155" s="577"/>
      <c r="AJ155" s="577"/>
      <c r="AK155" s="577"/>
      <c r="AL155" s="577"/>
      <c r="AM155" s="577"/>
      <c r="AN155" s="577"/>
      <c r="AO155" s="577"/>
      <c r="AP155" s="577"/>
      <c r="AQ155" s="577"/>
      <c r="AR155" s="577"/>
      <c r="AS155" s="577"/>
      <c r="AT155" s="577"/>
      <c r="AU155" s="577"/>
      <c r="AV155" s="577"/>
      <c r="AW155" s="577"/>
      <c r="AX155" s="577"/>
      <c r="AY155" s="577"/>
      <c r="AZ155" s="577"/>
    </row>
    <row r="156" spans="1:52" ht="15.75" customHeight="1" x14ac:dyDescent="0.2">
      <c r="A156" s="577"/>
      <c r="B156" s="577"/>
      <c r="C156" s="577"/>
      <c r="D156" s="577"/>
      <c r="E156" s="577"/>
      <c r="F156" s="577"/>
      <c r="G156" s="577"/>
      <c r="H156" s="577"/>
      <c r="I156" s="577"/>
      <c r="J156" s="577"/>
      <c r="K156" s="577"/>
      <c r="L156" s="577"/>
      <c r="M156" s="577"/>
      <c r="N156" s="577"/>
      <c r="O156" s="577"/>
      <c r="P156" s="577"/>
      <c r="Q156" s="577"/>
      <c r="R156" s="577"/>
      <c r="S156" s="577"/>
      <c r="T156" s="577"/>
      <c r="U156" s="577"/>
      <c r="V156" s="577"/>
      <c r="W156" s="577"/>
      <c r="X156" s="577"/>
      <c r="Y156" s="577"/>
      <c r="Z156" s="577"/>
      <c r="AA156" s="577"/>
      <c r="AB156" s="577"/>
      <c r="AC156" s="577"/>
      <c r="AD156" s="577"/>
      <c r="AE156" s="577"/>
      <c r="AF156" s="577"/>
      <c r="AG156" s="577"/>
      <c r="AH156" s="577"/>
      <c r="AI156" s="577"/>
      <c r="AJ156" s="577"/>
      <c r="AK156" s="577"/>
      <c r="AL156" s="577"/>
      <c r="AM156" s="577"/>
      <c r="AN156" s="577"/>
      <c r="AO156" s="577"/>
      <c r="AP156" s="577"/>
      <c r="AQ156" s="577"/>
      <c r="AR156" s="577"/>
      <c r="AS156" s="577"/>
      <c r="AT156" s="577"/>
      <c r="AU156" s="577"/>
      <c r="AV156" s="577"/>
      <c r="AW156" s="577"/>
      <c r="AX156" s="577"/>
      <c r="AY156" s="577"/>
      <c r="AZ156" s="577"/>
    </row>
    <row r="157" spans="1:52" ht="15.75" customHeight="1" x14ac:dyDescent="0.2">
      <c r="A157" s="577"/>
      <c r="B157" s="577"/>
      <c r="C157" s="577"/>
      <c r="D157" s="577"/>
      <c r="E157" s="577"/>
      <c r="F157" s="577"/>
      <c r="G157" s="577"/>
      <c r="H157" s="577"/>
      <c r="I157" s="577"/>
      <c r="J157" s="577"/>
      <c r="K157" s="577"/>
      <c r="L157" s="577"/>
      <c r="M157" s="577"/>
      <c r="N157" s="577"/>
      <c r="O157" s="577"/>
      <c r="P157" s="577"/>
      <c r="Q157" s="577"/>
      <c r="R157" s="577"/>
      <c r="S157" s="577"/>
      <c r="T157" s="577"/>
      <c r="U157" s="577"/>
      <c r="V157" s="577"/>
      <c r="W157" s="577"/>
      <c r="X157" s="577"/>
      <c r="Y157" s="577"/>
      <c r="Z157" s="577"/>
      <c r="AA157" s="577"/>
      <c r="AB157" s="577"/>
      <c r="AC157" s="577"/>
      <c r="AD157" s="577"/>
      <c r="AE157" s="577"/>
      <c r="AF157" s="577"/>
      <c r="AG157" s="577"/>
      <c r="AH157" s="577"/>
      <c r="AI157" s="577"/>
      <c r="AJ157" s="577"/>
      <c r="AK157" s="577"/>
      <c r="AL157" s="577"/>
      <c r="AM157" s="577"/>
      <c r="AN157" s="577"/>
      <c r="AO157" s="577"/>
      <c r="AP157" s="577"/>
      <c r="AQ157" s="577"/>
      <c r="AR157" s="577"/>
      <c r="AS157" s="577"/>
      <c r="AT157" s="577"/>
      <c r="AU157" s="577"/>
      <c r="AV157" s="577"/>
      <c r="AW157" s="577"/>
      <c r="AX157" s="577"/>
      <c r="AY157" s="577"/>
      <c r="AZ157" s="577"/>
    </row>
    <row r="158" spans="1:52" ht="15.75" customHeight="1" x14ac:dyDescent="0.2">
      <c r="A158" s="577"/>
      <c r="B158" s="577"/>
      <c r="C158" s="577"/>
      <c r="D158" s="577"/>
      <c r="E158" s="577"/>
      <c r="F158" s="577"/>
      <c r="G158" s="577"/>
      <c r="H158" s="577"/>
      <c r="I158" s="577"/>
      <c r="J158" s="577"/>
      <c r="K158" s="577"/>
      <c r="L158" s="577"/>
      <c r="M158" s="577"/>
      <c r="N158" s="577"/>
      <c r="O158" s="577"/>
      <c r="P158" s="577"/>
      <c r="Q158" s="577"/>
      <c r="R158" s="577"/>
      <c r="S158" s="577"/>
      <c r="T158" s="577"/>
      <c r="U158" s="577"/>
      <c r="V158" s="577"/>
      <c r="W158" s="577"/>
      <c r="X158" s="577"/>
      <c r="Y158" s="577"/>
      <c r="Z158" s="577"/>
      <c r="AA158" s="577"/>
      <c r="AB158" s="577"/>
      <c r="AC158" s="577"/>
      <c r="AD158" s="577"/>
      <c r="AE158" s="577"/>
      <c r="AF158" s="577"/>
      <c r="AG158" s="577"/>
      <c r="AH158" s="577"/>
      <c r="AI158" s="577"/>
      <c r="AJ158" s="577"/>
      <c r="AK158" s="577"/>
      <c r="AL158" s="577"/>
      <c r="AM158" s="577"/>
      <c r="AN158" s="577"/>
      <c r="AO158" s="577"/>
      <c r="AP158" s="577"/>
      <c r="AQ158" s="577"/>
      <c r="AR158" s="577"/>
      <c r="AS158" s="577"/>
      <c r="AT158" s="577"/>
      <c r="AU158" s="577"/>
      <c r="AV158" s="577"/>
      <c r="AW158" s="577"/>
      <c r="AX158" s="577"/>
      <c r="AY158" s="577"/>
      <c r="AZ158" s="577"/>
    </row>
    <row r="159" spans="1:52" ht="15.75" customHeight="1" x14ac:dyDescent="0.2">
      <c r="A159" s="577"/>
      <c r="B159" s="577"/>
      <c r="C159" s="577"/>
      <c r="D159" s="577"/>
      <c r="E159" s="577"/>
      <c r="F159" s="577"/>
      <c r="G159" s="577"/>
      <c r="H159" s="577"/>
      <c r="I159" s="577"/>
      <c r="J159" s="577"/>
      <c r="K159" s="577"/>
      <c r="L159" s="577"/>
      <c r="M159" s="577"/>
      <c r="N159" s="577"/>
      <c r="O159" s="577"/>
      <c r="P159" s="577"/>
      <c r="Q159" s="577"/>
      <c r="R159" s="577"/>
      <c r="S159" s="577"/>
      <c r="T159" s="577"/>
      <c r="U159" s="577"/>
      <c r="V159" s="577"/>
      <c r="W159" s="577"/>
      <c r="X159" s="577"/>
      <c r="Y159" s="577"/>
      <c r="Z159" s="577"/>
      <c r="AA159" s="577"/>
      <c r="AB159" s="577"/>
      <c r="AC159" s="577"/>
      <c r="AD159" s="577"/>
      <c r="AE159" s="577"/>
      <c r="AF159" s="577"/>
      <c r="AG159" s="577"/>
      <c r="AH159" s="577"/>
      <c r="AI159" s="577"/>
      <c r="AJ159" s="577"/>
      <c r="AK159" s="577"/>
      <c r="AL159" s="577"/>
      <c r="AM159" s="577"/>
      <c r="AN159" s="577"/>
      <c r="AO159" s="577"/>
      <c r="AP159" s="577"/>
      <c r="AQ159" s="577"/>
      <c r="AR159" s="577"/>
      <c r="AS159" s="577"/>
      <c r="AT159" s="577"/>
      <c r="AU159" s="577"/>
      <c r="AV159" s="577"/>
      <c r="AW159" s="577"/>
      <c r="AX159" s="577"/>
      <c r="AY159" s="577"/>
      <c r="AZ159" s="577"/>
    </row>
    <row r="160" spans="1:52" ht="15.75" customHeight="1" x14ac:dyDescent="0.2">
      <c r="A160" s="577"/>
      <c r="B160" s="577"/>
      <c r="C160" s="577"/>
      <c r="D160" s="577"/>
      <c r="E160" s="577"/>
      <c r="F160" s="577"/>
      <c r="G160" s="577"/>
      <c r="H160" s="577"/>
      <c r="I160" s="577"/>
      <c r="J160" s="577"/>
      <c r="K160" s="577"/>
      <c r="L160" s="577"/>
      <c r="M160" s="577"/>
      <c r="N160" s="577"/>
      <c r="O160" s="577"/>
      <c r="P160" s="577"/>
      <c r="Q160" s="577"/>
      <c r="R160" s="577"/>
      <c r="S160" s="577"/>
      <c r="T160" s="577"/>
      <c r="U160" s="577"/>
      <c r="V160" s="577"/>
      <c r="W160" s="577"/>
      <c r="X160" s="577"/>
      <c r="Y160" s="577"/>
      <c r="Z160" s="577"/>
      <c r="AA160" s="577"/>
      <c r="AB160" s="577"/>
      <c r="AC160" s="577"/>
      <c r="AD160" s="577"/>
      <c r="AE160" s="577"/>
      <c r="AF160" s="577"/>
      <c r="AG160" s="577"/>
      <c r="AH160" s="577"/>
      <c r="AI160" s="577"/>
      <c r="AJ160" s="577"/>
      <c r="AK160" s="577"/>
      <c r="AL160" s="577"/>
      <c r="AM160" s="577"/>
      <c r="AN160" s="577"/>
      <c r="AO160" s="577"/>
      <c r="AP160" s="577"/>
      <c r="AQ160" s="577"/>
      <c r="AR160" s="577"/>
      <c r="AS160" s="577"/>
      <c r="AT160" s="577"/>
      <c r="AU160" s="577"/>
      <c r="AV160" s="577"/>
      <c r="AW160" s="577"/>
      <c r="AX160" s="577"/>
      <c r="AY160" s="577"/>
      <c r="AZ160" s="577"/>
    </row>
    <row r="161" spans="1:52" ht="15.75" customHeight="1" x14ac:dyDescent="0.2">
      <c r="A161" s="577"/>
      <c r="B161" s="577"/>
      <c r="C161" s="577"/>
      <c r="D161" s="577"/>
      <c r="E161" s="577"/>
      <c r="F161" s="577"/>
      <c r="G161" s="577"/>
      <c r="H161" s="577"/>
      <c r="I161" s="577"/>
      <c r="J161" s="577"/>
      <c r="K161" s="577"/>
      <c r="L161" s="577"/>
      <c r="M161" s="577"/>
      <c r="N161" s="577"/>
      <c r="O161" s="577"/>
      <c r="P161" s="577"/>
      <c r="Q161" s="577"/>
      <c r="R161" s="577"/>
      <c r="S161" s="577"/>
      <c r="T161" s="577"/>
      <c r="U161" s="577"/>
      <c r="V161" s="577"/>
      <c r="W161" s="577"/>
      <c r="X161" s="577"/>
      <c r="Y161" s="577"/>
      <c r="Z161" s="577"/>
      <c r="AA161" s="577"/>
      <c r="AB161" s="577"/>
      <c r="AC161" s="577"/>
      <c r="AD161" s="577"/>
      <c r="AE161" s="577"/>
      <c r="AF161" s="577"/>
      <c r="AG161" s="577"/>
      <c r="AH161" s="577"/>
      <c r="AI161" s="577"/>
      <c r="AJ161" s="577"/>
      <c r="AK161" s="577"/>
      <c r="AL161" s="577"/>
      <c r="AM161" s="577"/>
      <c r="AN161" s="577"/>
      <c r="AO161" s="577"/>
      <c r="AP161" s="577"/>
      <c r="AQ161" s="577"/>
      <c r="AR161" s="577"/>
      <c r="AS161" s="577"/>
      <c r="AT161" s="577"/>
      <c r="AU161" s="577"/>
      <c r="AV161" s="577"/>
      <c r="AW161" s="577"/>
      <c r="AX161" s="577"/>
      <c r="AY161" s="577"/>
      <c r="AZ161" s="577"/>
    </row>
    <row r="162" spans="1:52" ht="15.75" customHeight="1" x14ac:dyDescent="0.2">
      <c r="A162" s="577"/>
      <c r="B162" s="577"/>
      <c r="C162" s="577"/>
      <c r="D162" s="577"/>
      <c r="E162" s="577"/>
      <c r="F162" s="577"/>
      <c r="G162" s="577"/>
      <c r="H162" s="577"/>
      <c r="I162" s="577"/>
      <c r="J162" s="577"/>
      <c r="K162" s="577"/>
      <c r="L162" s="577"/>
      <c r="M162" s="577"/>
      <c r="N162" s="577"/>
      <c r="O162" s="577"/>
      <c r="P162" s="577"/>
      <c r="Q162" s="577"/>
      <c r="R162" s="577"/>
      <c r="S162" s="577"/>
      <c r="T162" s="577"/>
      <c r="U162" s="577"/>
      <c r="V162" s="577"/>
      <c r="W162" s="577"/>
      <c r="X162" s="577"/>
      <c r="Y162" s="577"/>
      <c r="Z162" s="577"/>
      <c r="AA162" s="577"/>
      <c r="AB162" s="577"/>
      <c r="AC162" s="577"/>
      <c r="AD162" s="577"/>
      <c r="AE162" s="577"/>
      <c r="AF162" s="577"/>
      <c r="AG162" s="577"/>
      <c r="AH162" s="577"/>
      <c r="AI162" s="577"/>
      <c r="AJ162" s="577"/>
      <c r="AK162" s="577"/>
      <c r="AL162" s="577"/>
      <c r="AM162" s="577"/>
      <c r="AN162" s="577"/>
      <c r="AO162" s="577"/>
      <c r="AP162" s="577"/>
      <c r="AQ162" s="577"/>
      <c r="AR162" s="577"/>
      <c r="AS162" s="577"/>
      <c r="AT162" s="577"/>
      <c r="AU162" s="577"/>
      <c r="AV162" s="577"/>
      <c r="AW162" s="577"/>
      <c r="AX162" s="577"/>
      <c r="AY162" s="577"/>
      <c r="AZ162" s="577"/>
    </row>
    <row r="163" spans="1:52" ht="15.75" customHeight="1" x14ac:dyDescent="0.2">
      <c r="A163" s="577"/>
      <c r="B163" s="577"/>
      <c r="C163" s="577"/>
      <c r="D163" s="577"/>
      <c r="E163" s="577"/>
      <c r="F163" s="577"/>
      <c r="G163" s="577"/>
      <c r="H163" s="577"/>
      <c r="I163" s="577"/>
      <c r="J163" s="577"/>
      <c r="K163" s="577"/>
      <c r="L163" s="577"/>
      <c r="M163" s="577"/>
      <c r="N163" s="577"/>
      <c r="O163" s="577"/>
      <c r="P163" s="577"/>
      <c r="Q163" s="577"/>
      <c r="R163" s="577"/>
      <c r="S163" s="577"/>
      <c r="T163" s="577"/>
      <c r="U163" s="577"/>
      <c r="V163" s="577"/>
      <c r="W163" s="577"/>
      <c r="X163" s="577"/>
      <c r="Y163" s="577"/>
      <c r="Z163" s="577"/>
      <c r="AA163" s="577"/>
      <c r="AB163" s="577"/>
      <c r="AC163" s="577"/>
      <c r="AD163" s="577"/>
      <c r="AE163" s="577"/>
      <c r="AF163" s="577"/>
      <c r="AG163" s="577"/>
      <c r="AH163" s="577"/>
      <c r="AI163" s="577"/>
      <c r="AJ163" s="577"/>
      <c r="AK163" s="577"/>
      <c r="AL163" s="577"/>
      <c r="AM163" s="577"/>
      <c r="AN163" s="577"/>
      <c r="AO163" s="577"/>
      <c r="AP163" s="577"/>
      <c r="AQ163" s="577"/>
      <c r="AR163" s="577"/>
      <c r="AS163" s="577"/>
      <c r="AT163" s="577"/>
      <c r="AU163" s="577"/>
      <c r="AV163" s="577"/>
      <c r="AW163" s="577"/>
      <c r="AX163" s="577"/>
      <c r="AY163" s="577"/>
      <c r="AZ163" s="577"/>
    </row>
    <row r="164" spans="1:52" ht="15.75" customHeight="1" x14ac:dyDescent="0.2">
      <c r="A164" s="577"/>
      <c r="B164" s="577"/>
      <c r="C164" s="577"/>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577"/>
      <c r="AV164" s="577"/>
      <c r="AW164" s="577"/>
      <c r="AX164" s="577"/>
      <c r="AY164" s="577"/>
      <c r="AZ164" s="577"/>
    </row>
    <row r="165" spans="1:52" ht="15.75" customHeight="1" x14ac:dyDescent="0.2">
      <c r="A165" s="577"/>
      <c r="B165" s="577"/>
      <c r="C165" s="577"/>
      <c r="D165" s="577"/>
      <c r="E165" s="577"/>
      <c r="F165" s="577"/>
      <c r="G165" s="577"/>
      <c r="H165" s="577"/>
      <c r="I165" s="577"/>
      <c r="J165" s="577"/>
      <c r="K165" s="577"/>
      <c r="L165" s="577"/>
      <c r="M165" s="577"/>
      <c r="N165" s="577"/>
      <c r="O165" s="577"/>
      <c r="P165" s="577"/>
      <c r="Q165" s="577"/>
      <c r="R165" s="577"/>
      <c r="S165" s="577"/>
      <c r="T165" s="577"/>
      <c r="U165" s="577"/>
      <c r="V165" s="577"/>
      <c r="W165" s="577"/>
      <c r="X165" s="57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577"/>
      <c r="AV165" s="577"/>
      <c r="AW165" s="577"/>
      <c r="AX165" s="577"/>
      <c r="AY165" s="577"/>
      <c r="AZ165" s="577"/>
    </row>
    <row r="166" spans="1:52" ht="15.75" customHeight="1" x14ac:dyDescent="0.2">
      <c r="A166" s="577"/>
      <c r="B166" s="577"/>
      <c r="C166" s="577"/>
      <c r="D166" s="577"/>
      <c r="E166" s="577"/>
      <c r="F166" s="577"/>
      <c r="G166" s="577"/>
      <c r="H166" s="577"/>
      <c r="I166" s="577"/>
      <c r="J166" s="577"/>
      <c r="K166" s="577"/>
      <c r="L166" s="577"/>
      <c r="M166" s="577"/>
      <c r="N166" s="577"/>
      <c r="O166" s="577"/>
      <c r="P166" s="577"/>
      <c r="Q166" s="577"/>
      <c r="R166" s="577"/>
      <c r="S166" s="577"/>
      <c r="T166" s="577"/>
      <c r="U166" s="577"/>
      <c r="V166" s="577"/>
      <c r="W166" s="577"/>
      <c r="X166" s="577"/>
      <c r="Y166" s="577"/>
      <c r="Z166" s="577"/>
      <c r="AA166" s="577"/>
      <c r="AB166" s="577"/>
      <c r="AC166" s="577"/>
      <c r="AD166" s="577"/>
      <c r="AE166" s="577"/>
      <c r="AF166" s="577"/>
      <c r="AG166" s="577"/>
      <c r="AH166" s="577"/>
      <c r="AI166" s="577"/>
      <c r="AJ166" s="577"/>
      <c r="AK166" s="577"/>
      <c r="AL166" s="577"/>
      <c r="AM166" s="577"/>
      <c r="AN166" s="577"/>
      <c r="AO166" s="577"/>
      <c r="AP166" s="577"/>
      <c r="AQ166" s="577"/>
      <c r="AR166" s="577"/>
      <c r="AS166" s="577"/>
      <c r="AT166" s="577"/>
      <c r="AU166" s="577"/>
      <c r="AV166" s="577"/>
      <c r="AW166" s="577"/>
      <c r="AX166" s="577"/>
      <c r="AY166" s="577"/>
      <c r="AZ166" s="577"/>
    </row>
    <row r="167" spans="1:52" ht="15.75" customHeight="1" x14ac:dyDescent="0.2">
      <c r="A167" s="577"/>
      <c r="B167" s="577"/>
      <c r="C167" s="577"/>
      <c r="D167" s="577"/>
      <c r="E167" s="577"/>
      <c r="F167" s="577"/>
      <c r="G167" s="577"/>
      <c r="H167" s="577"/>
      <c r="I167" s="577"/>
      <c r="J167" s="577"/>
      <c r="K167" s="577"/>
      <c r="L167" s="577"/>
      <c r="M167" s="577"/>
      <c r="N167" s="577"/>
      <c r="O167" s="577"/>
      <c r="P167" s="577"/>
      <c r="Q167" s="577"/>
      <c r="R167" s="577"/>
      <c r="S167" s="577"/>
      <c r="T167" s="577"/>
      <c r="U167" s="577"/>
      <c r="V167" s="577"/>
      <c r="W167" s="577"/>
      <c r="X167" s="577"/>
      <c r="Y167" s="577"/>
      <c r="Z167" s="577"/>
      <c r="AA167" s="577"/>
      <c r="AB167" s="577"/>
      <c r="AC167" s="577"/>
      <c r="AD167" s="577"/>
      <c r="AE167" s="577"/>
      <c r="AF167" s="577"/>
      <c r="AG167" s="577"/>
      <c r="AH167" s="577"/>
      <c r="AI167" s="577"/>
      <c r="AJ167" s="577"/>
      <c r="AK167" s="577"/>
      <c r="AL167" s="577"/>
      <c r="AM167" s="577"/>
      <c r="AN167" s="577"/>
      <c r="AO167" s="577"/>
      <c r="AP167" s="577"/>
      <c r="AQ167" s="577"/>
      <c r="AR167" s="577"/>
      <c r="AS167" s="577"/>
      <c r="AT167" s="577"/>
      <c r="AU167" s="577"/>
      <c r="AV167" s="577"/>
      <c r="AW167" s="577"/>
      <c r="AX167" s="577"/>
      <c r="AY167" s="577"/>
      <c r="AZ167" s="577"/>
    </row>
    <row r="168" spans="1:52" ht="15.75" customHeight="1" x14ac:dyDescent="0.2">
      <c r="A168" s="577"/>
      <c r="B168" s="577"/>
      <c r="C168" s="577"/>
      <c r="D168" s="577"/>
      <c r="E168" s="577"/>
      <c r="F168" s="577"/>
      <c r="G168" s="577"/>
      <c r="H168" s="577"/>
      <c r="I168" s="577"/>
      <c r="J168" s="577"/>
      <c r="K168" s="577"/>
      <c r="L168" s="577"/>
      <c r="M168" s="577"/>
      <c r="N168" s="577"/>
      <c r="O168" s="577"/>
      <c r="P168" s="577"/>
      <c r="Q168" s="577"/>
      <c r="R168" s="577"/>
      <c r="S168" s="577"/>
      <c r="T168" s="577"/>
      <c r="U168" s="577"/>
      <c r="V168" s="577"/>
      <c r="W168" s="577"/>
      <c r="X168" s="577"/>
      <c r="Y168" s="577"/>
      <c r="Z168" s="577"/>
      <c r="AA168" s="577"/>
      <c r="AB168" s="577"/>
      <c r="AC168" s="577"/>
      <c r="AD168" s="577"/>
      <c r="AE168" s="577"/>
      <c r="AF168" s="577"/>
      <c r="AG168" s="577"/>
      <c r="AH168" s="577"/>
      <c r="AI168" s="577"/>
      <c r="AJ168" s="577"/>
      <c r="AK168" s="577"/>
      <c r="AL168" s="577"/>
      <c r="AM168" s="577"/>
      <c r="AN168" s="577"/>
      <c r="AO168" s="577"/>
      <c r="AP168" s="577"/>
      <c r="AQ168" s="577"/>
      <c r="AR168" s="577"/>
      <c r="AS168" s="577"/>
      <c r="AT168" s="577"/>
      <c r="AU168" s="577"/>
      <c r="AV168" s="577"/>
      <c r="AW168" s="577"/>
      <c r="AX168" s="577"/>
      <c r="AY168" s="577"/>
      <c r="AZ168" s="577"/>
    </row>
    <row r="169" spans="1:52" ht="15.75" customHeight="1" x14ac:dyDescent="0.2">
      <c r="A169" s="577"/>
      <c r="B169" s="577"/>
      <c r="C169" s="577"/>
      <c r="D169" s="577"/>
      <c r="E169" s="577"/>
      <c r="F169" s="577"/>
      <c r="G169" s="577"/>
      <c r="H169" s="577"/>
      <c r="I169" s="577"/>
      <c r="J169" s="577"/>
      <c r="K169" s="577"/>
      <c r="L169" s="577"/>
      <c r="M169" s="577"/>
      <c r="N169" s="577"/>
      <c r="O169" s="577"/>
      <c r="P169" s="577"/>
      <c r="Q169" s="577"/>
      <c r="R169" s="577"/>
      <c r="S169" s="577"/>
      <c r="T169" s="577"/>
      <c r="U169" s="577"/>
      <c r="V169" s="577"/>
      <c r="W169" s="577"/>
      <c r="X169" s="577"/>
      <c r="Y169" s="577"/>
      <c r="Z169" s="577"/>
      <c r="AA169" s="577"/>
      <c r="AB169" s="577"/>
      <c r="AC169" s="577"/>
      <c r="AD169" s="577"/>
      <c r="AE169" s="577"/>
      <c r="AF169" s="577"/>
      <c r="AG169" s="577"/>
      <c r="AH169" s="577"/>
      <c r="AI169" s="577"/>
      <c r="AJ169" s="577"/>
      <c r="AK169" s="577"/>
      <c r="AL169" s="577"/>
      <c r="AM169" s="577"/>
      <c r="AN169" s="577"/>
      <c r="AO169" s="577"/>
      <c r="AP169" s="577"/>
      <c r="AQ169" s="577"/>
      <c r="AR169" s="577"/>
      <c r="AS169" s="577"/>
      <c r="AT169" s="577"/>
      <c r="AU169" s="577"/>
      <c r="AV169" s="577"/>
      <c r="AW169" s="577"/>
      <c r="AX169" s="577"/>
      <c r="AY169" s="577"/>
      <c r="AZ169" s="577"/>
    </row>
    <row r="170" spans="1:52" ht="15.75" customHeight="1" x14ac:dyDescent="0.2">
      <c r="A170" s="577"/>
      <c r="B170" s="577"/>
      <c r="C170" s="577"/>
      <c r="D170" s="577"/>
      <c r="E170" s="577"/>
      <c r="F170" s="577"/>
      <c r="G170" s="577"/>
      <c r="H170" s="577"/>
      <c r="I170" s="577"/>
      <c r="J170" s="577"/>
      <c r="K170" s="577"/>
      <c r="L170" s="577"/>
      <c r="M170" s="577"/>
      <c r="N170" s="577"/>
      <c r="O170" s="577"/>
      <c r="P170" s="577"/>
      <c r="Q170" s="577"/>
      <c r="R170" s="577"/>
      <c r="S170" s="577"/>
      <c r="T170" s="577"/>
      <c r="U170" s="577"/>
      <c r="V170" s="577"/>
      <c r="W170" s="577"/>
      <c r="X170" s="577"/>
      <c r="Y170" s="577"/>
      <c r="Z170" s="577"/>
      <c r="AA170" s="577"/>
      <c r="AB170" s="577"/>
      <c r="AC170" s="577"/>
      <c r="AD170" s="577"/>
      <c r="AE170" s="577"/>
      <c r="AF170" s="577"/>
      <c r="AG170" s="577"/>
      <c r="AH170" s="577"/>
      <c r="AI170" s="577"/>
      <c r="AJ170" s="577"/>
      <c r="AK170" s="577"/>
      <c r="AL170" s="577"/>
      <c r="AM170" s="577"/>
      <c r="AN170" s="577"/>
      <c r="AO170" s="577"/>
      <c r="AP170" s="577"/>
      <c r="AQ170" s="577"/>
      <c r="AR170" s="577"/>
      <c r="AS170" s="577"/>
      <c r="AT170" s="577"/>
      <c r="AU170" s="577"/>
      <c r="AV170" s="577"/>
      <c r="AW170" s="577"/>
      <c r="AX170" s="577"/>
      <c r="AY170" s="577"/>
      <c r="AZ170" s="577"/>
    </row>
    <row r="171" spans="1:52" ht="15.75" customHeight="1" x14ac:dyDescent="0.2">
      <c r="A171" s="577"/>
      <c r="B171" s="577"/>
      <c r="C171" s="577"/>
      <c r="D171" s="577"/>
      <c r="E171" s="577"/>
      <c r="F171" s="577"/>
      <c r="G171" s="577"/>
      <c r="H171" s="577"/>
      <c r="I171" s="577"/>
      <c r="J171" s="577"/>
      <c r="K171" s="577"/>
      <c r="L171" s="577"/>
      <c r="M171" s="577"/>
      <c r="N171" s="577"/>
      <c r="O171" s="577"/>
      <c r="P171" s="577"/>
      <c r="Q171" s="577"/>
      <c r="R171" s="577"/>
      <c r="S171" s="577"/>
      <c r="T171" s="577"/>
      <c r="U171" s="577"/>
      <c r="V171" s="577"/>
      <c r="W171" s="577"/>
      <c r="X171" s="577"/>
      <c r="Y171" s="577"/>
      <c r="Z171" s="577"/>
      <c r="AA171" s="577"/>
      <c r="AB171" s="577"/>
      <c r="AC171" s="577"/>
      <c r="AD171" s="577"/>
      <c r="AE171" s="577"/>
      <c r="AF171" s="577"/>
      <c r="AG171" s="577"/>
      <c r="AH171" s="577"/>
      <c r="AI171" s="577"/>
      <c r="AJ171" s="577"/>
      <c r="AK171" s="577"/>
      <c r="AL171" s="577"/>
      <c r="AM171" s="577"/>
      <c r="AN171" s="577"/>
      <c r="AO171" s="577"/>
      <c r="AP171" s="577"/>
      <c r="AQ171" s="577"/>
      <c r="AR171" s="577"/>
      <c r="AS171" s="577"/>
      <c r="AT171" s="577"/>
      <c r="AU171" s="577"/>
      <c r="AV171" s="577"/>
      <c r="AW171" s="577"/>
      <c r="AX171" s="577"/>
      <c r="AY171" s="577"/>
      <c r="AZ171" s="577"/>
    </row>
    <row r="172" spans="1:52" ht="15.75" customHeight="1" x14ac:dyDescent="0.2">
      <c r="A172" s="577"/>
      <c r="B172" s="577"/>
      <c r="C172" s="577"/>
      <c r="D172" s="577"/>
      <c r="E172" s="577"/>
      <c r="F172" s="577"/>
      <c r="G172" s="577"/>
      <c r="H172" s="577"/>
      <c r="I172" s="577"/>
      <c r="J172" s="577"/>
      <c r="K172" s="577"/>
      <c r="L172" s="577"/>
      <c r="M172" s="577"/>
      <c r="N172" s="577"/>
      <c r="O172" s="577"/>
      <c r="P172" s="577"/>
      <c r="Q172" s="577"/>
      <c r="R172" s="577"/>
      <c r="S172" s="577"/>
      <c r="T172" s="577"/>
      <c r="U172" s="577"/>
      <c r="V172" s="577"/>
      <c r="W172" s="577"/>
      <c r="X172" s="577"/>
      <c r="Y172" s="577"/>
      <c r="Z172" s="577"/>
      <c r="AA172" s="577"/>
      <c r="AB172" s="577"/>
      <c r="AC172" s="577"/>
      <c r="AD172" s="577"/>
      <c r="AE172" s="577"/>
      <c r="AF172" s="577"/>
      <c r="AG172" s="577"/>
      <c r="AH172" s="577"/>
      <c r="AI172" s="577"/>
      <c r="AJ172" s="577"/>
      <c r="AK172" s="577"/>
      <c r="AL172" s="577"/>
      <c r="AM172" s="577"/>
      <c r="AN172" s="577"/>
      <c r="AO172" s="577"/>
      <c r="AP172" s="577"/>
      <c r="AQ172" s="577"/>
      <c r="AR172" s="577"/>
      <c r="AS172" s="577"/>
      <c r="AT172" s="577"/>
      <c r="AU172" s="577"/>
      <c r="AV172" s="577"/>
      <c r="AW172" s="577"/>
      <c r="AX172" s="577"/>
      <c r="AY172" s="577"/>
      <c r="AZ172" s="577"/>
    </row>
    <row r="173" spans="1:52" ht="15.75" customHeight="1" x14ac:dyDescent="0.2">
      <c r="A173" s="577"/>
      <c r="B173" s="577"/>
      <c r="C173" s="577"/>
      <c r="D173" s="577"/>
      <c r="E173" s="577"/>
      <c r="F173" s="577"/>
      <c r="G173" s="577"/>
      <c r="H173" s="577"/>
      <c r="I173" s="577"/>
      <c r="J173" s="577"/>
      <c r="K173" s="577"/>
      <c r="L173" s="577"/>
      <c r="M173" s="577"/>
      <c r="N173" s="577"/>
      <c r="O173" s="577"/>
      <c r="P173" s="577"/>
      <c r="Q173" s="577"/>
      <c r="R173" s="577"/>
      <c r="S173" s="577"/>
      <c r="T173" s="577"/>
      <c r="U173" s="577"/>
      <c r="V173" s="577"/>
      <c r="W173" s="577"/>
      <c r="X173" s="577"/>
      <c r="Y173" s="577"/>
      <c r="Z173" s="577"/>
      <c r="AA173" s="577"/>
      <c r="AB173" s="577"/>
      <c r="AC173" s="577"/>
      <c r="AD173" s="577"/>
      <c r="AE173" s="577"/>
      <c r="AF173" s="577"/>
      <c r="AG173" s="577"/>
      <c r="AH173" s="577"/>
      <c r="AI173" s="577"/>
      <c r="AJ173" s="577"/>
      <c r="AK173" s="577"/>
      <c r="AL173" s="577"/>
      <c r="AM173" s="577"/>
      <c r="AN173" s="577"/>
      <c r="AO173" s="577"/>
      <c r="AP173" s="577"/>
      <c r="AQ173" s="577"/>
      <c r="AR173" s="577"/>
      <c r="AS173" s="577"/>
      <c r="AT173" s="577"/>
      <c r="AU173" s="577"/>
      <c r="AV173" s="577"/>
      <c r="AW173" s="577"/>
      <c r="AX173" s="577"/>
      <c r="AY173" s="577"/>
      <c r="AZ173" s="577"/>
    </row>
    <row r="174" spans="1:52" ht="15.75" customHeight="1" x14ac:dyDescent="0.2">
      <c r="A174" s="577"/>
      <c r="B174" s="577"/>
      <c r="C174" s="577"/>
      <c r="D174" s="577"/>
      <c r="E174" s="577"/>
      <c r="F174" s="577"/>
      <c r="G174" s="577"/>
      <c r="H174" s="577"/>
      <c r="I174" s="577"/>
      <c r="J174" s="577"/>
      <c r="K174" s="577"/>
      <c r="L174" s="577"/>
      <c r="M174" s="577"/>
      <c r="N174" s="577"/>
      <c r="O174" s="577"/>
      <c r="P174" s="577"/>
      <c r="Q174" s="577"/>
      <c r="R174" s="577"/>
      <c r="S174" s="577"/>
      <c r="T174" s="577"/>
      <c r="U174" s="577"/>
      <c r="V174" s="577"/>
      <c r="W174" s="577"/>
      <c r="X174" s="577"/>
      <c r="Y174" s="577"/>
      <c r="Z174" s="577"/>
      <c r="AA174" s="577"/>
      <c r="AB174" s="577"/>
      <c r="AC174" s="577"/>
      <c r="AD174" s="577"/>
      <c r="AE174" s="577"/>
      <c r="AF174" s="577"/>
      <c r="AG174" s="577"/>
      <c r="AH174" s="577"/>
      <c r="AI174" s="577"/>
      <c r="AJ174" s="577"/>
      <c r="AK174" s="577"/>
      <c r="AL174" s="577"/>
      <c r="AM174" s="577"/>
      <c r="AN174" s="577"/>
      <c r="AO174" s="577"/>
      <c r="AP174" s="577"/>
      <c r="AQ174" s="577"/>
      <c r="AR174" s="577"/>
      <c r="AS174" s="577"/>
      <c r="AT174" s="577"/>
      <c r="AU174" s="577"/>
      <c r="AV174" s="577"/>
      <c r="AW174" s="577"/>
      <c r="AX174" s="577"/>
      <c r="AY174" s="577"/>
      <c r="AZ174" s="577"/>
    </row>
    <row r="175" spans="1:52" ht="15.75" customHeight="1" x14ac:dyDescent="0.2">
      <c r="A175" s="577"/>
      <c r="B175" s="577"/>
      <c r="C175" s="577"/>
      <c r="D175" s="577"/>
      <c r="E175" s="577"/>
      <c r="F175" s="577"/>
      <c r="G175" s="577"/>
      <c r="H175" s="577"/>
      <c r="I175" s="577"/>
      <c r="J175" s="577"/>
      <c r="K175" s="577"/>
      <c r="L175" s="577"/>
      <c r="M175" s="577"/>
      <c r="N175" s="577"/>
      <c r="O175" s="577"/>
      <c r="P175" s="577"/>
      <c r="Q175" s="577"/>
      <c r="R175" s="577"/>
      <c r="S175" s="577"/>
      <c r="T175" s="577"/>
      <c r="U175" s="577"/>
      <c r="V175" s="577"/>
      <c r="W175" s="577"/>
      <c r="X175" s="577"/>
      <c r="Y175" s="577"/>
      <c r="Z175" s="577"/>
      <c r="AA175" s="577"/>
      <c r="AB175" s="577"/>
      <c r="AC175" s="577"/>
      <c r="AD175" s="577"/>
      <c r="AE175" s="577"/>
      <c r="AF175" s="577"/>
      <c r="AG175" s="577"/>
      <c r="AH175" s="577"/>
      <c r="AI175" s="577"/>
      <c r="AJ175" s="577"/>
      <c r="AK175" s="577"/>
      <c r="AL175" s="577"/>
      <c r="AM175" s="577"/>
      <c r="AN175" s="577"/>
      <c r="AO175" s="577"/>
      <c r="AP175" s="577"/>
      <c r="AQ175" s="577"/>
      <c r="AR175" s="577"/>
      <c r="AS175" s="577"/>
      <c r="AT175" s="577"/>
      <c r="AU175" s="577"/>
      <c r="AV175" s="577"/>
      <c r="AW175" s="577"/>
      <c r="AX175" s="577"/>
      <c r="AY175" s="577"/>
      <c r="AZ175" s="577"/>
    </row>
    <row r="176" spans="1:52" ht="15.75" customHeight="1" x14ac:dyDescent="0.2">
      <c r="A176" s="577"/>
      <c r="B176" s="577"/>
      <c r="C176" s="577"/>
      <c r="D176" s="577"/>
      <c r="E176" s="577"/>
      <c r="F176" s="577"/>
      <c r="G176" s="577"/>
      <c r="H176" s="577"/>
      <c r="I176" s="577"/>
      <c r="J176" s="577"/>
      <c r="K176" s="577"/>
      <c r="L176" s="577"/>
      <c r="M176" s="577"/>
      <c r="N176" s="577"/>
      <c r="O176" s="577"/>
      <c r="P176" s="577"/>
      <c r="Q176" s="577"/>
      <c r="R176" s="577"/>
      <c r="S176" s="577"/>
      <c r="T176" s="577"/>
      <c r="U176" s="577"/>
      <c r="V176" s="577"/>
      <c r="W176" s="577"/>
      <c r="X176" s="577"/>
      <c r="Y176" s="577"/>
      <c r="Z176" s="577"/>
      <c r="AA176" s="577"/>
      <c r="AB176" s="577"/>
      <c r="AC176" s="577"/>
      <c r="AD176" s="577"/>
      <c r="AE176" s="577"/>
      <c r="AF176" s="577"/>
      <c r="AG176" s="577"/>
      <c r="AH176" s="577"/>
      <c r="AI176" s="577"/>
      <c r="AJ176" s="577"/>
      <c r="AK176" s="577"/>
      <c r="AL176" s="577"/>
      <c r="AM176" s="577"/>
      <c r="AN176" s="577"/>
      <c r="AO176" s="577"/>
      <c r="AP176" s="577"/>
      <c r="AQ176" s="577"/>
      <c r="AR176" s="577"/>
      <c r="AS176" s="577"/>
      <c r="AT176" s="577"/>
      <c r="AU176" s="577"/>
      <c r="AV176" s="577"/>
      <c r="AW176" s="577"/>
      <c r="AX176" s="577"/>
      <c r="AY176" s="577"/>
      <c r="AZ176" s="577"/>
    </row>
    <row r="177" spans="1:52" ht="15.75" customHeight="1" x14ac:dyDescent="0.2">
      <c r="A177" s="577"/>
      <c r="B177" s="577"/>
      <c r="C177" s="577"/>
      <c r="D177" s="577"/>
      <c r="E177" s="577"/>
      <c r="F177" s="577"/>
      <c r="G177" s="577"/>
      <c r="H177" s="577"/>
      <c r="I177" s="577"/>
      <c r="J177" s="577"/>
      <c r="K177" s="577"/>
      <c r="L177" s="577"/>
      <c r="M177" s="577"/>
      <c r="N177" s="577"/>
      <c r="O177" s="577"/>
      <c r="P177" s="577"/>
      <c r="Q177" s="577"/>
      <c r="R177" s="577"/>
      <c r="S177" s="577"/>
      <c r="T177" s="577"/>
      <c r="U177" s="577"/>
      <c r="V177" s="577"/>
      <c r="W177" s="577"/>
      <c r="X177" s="577"/>
      <c r="Y177" s="577"/>
      <c r="Z177" s="577"/>
      <c r="AA177" s="577"/>
      <c r="AB177" s="577"/>
      <c r="AC177" s="577"/>
      <c r="AD177" s="577"/>
      <c r="AE177" s="577"/>
      <c r="AF177" s="577"/>
      <c r="AG177" s="577"/>
      <c r="AH177" s="577"/>
      <c r="AI177" s="577"/>
      <c r="AJ177" s="577"/>
      <c r="AK177" s="577"/>
      <c r="AL177" s="577"/>
      <c r="AM177" s="577"/>
      <c r="AN177" s="577"/>
      <c r="AO177" s="577"/>
      <c r="AP177" s="577"/>
      <c r="AQ177" s="577"/>
      <c r="AR177" s="577"/>
      <c r="AS177" s="577"/>
      <c r="AT177" s="577"/>
      <c r="AU177" s="577"/>
      <c r="AV177" s="577"/>
      <c r="AW177" s="577"/>
      <c r="AX177" s="577"/>
      <c r="AY177" s="577"/>
      <c r="AZ177" s="577"/>
    </row>
    <row r="178" spans="1:52" ht="15.75" customHeight="1" x14ac:dyDescent="0.2">
      <c r="A178" s="577"/>
      <c r="B178" s="577"/>
      <c r="C178" s="577"/>
      <c r="D178" s="577"/>
      <c r="E178" s="577"/>
      <c r="F178" s="577"/>
      <c r="G178" s="577"/>
      <c r="H178" s="577"/>
      <c r="I178" s="577"/>
      <c r="J178" s="577"/>
      <c r="K178" s="577"/>
      <c r="L178" s="577"/>
      <c r="M178" s="577"/>
      <c r="N178" s="577"/>
      <c r="O178" s="577"/>
      <c r="P178" s="577"/>
      <c r="Q178" s="577"/>
      <c r="R178" s="577"/>
      <c r="S178" s="577"/>
      <c r="T178" s="577"/>
      <c r="U178" s="577"/>
      <c r="V178" s="577"/>
      <c r="W178" s="577"/>
      <c r="X178" s="577"/>
      <c r="Y178" s="577"/>
      <c r="Z178" s="577"/>
      <c r="AA178" s="577"/>
      <c r="AB178" s="577"/>
      <c r="AC178" s="577"/>
      <c r="AD178" s="577"/>
      <c r="AE178" s="577"/>
      <c r="AF178" s="577"/>
      <c r="AG178" s="577"/>
      <c r="AH178" s="577"/>
      <c r="AI178" s="577"/>
      <c r="AJ178" s="577"/>
      <c r="AK178" s="577"/>
      <c r="AL178" s="577"/>
      <c r="AM178" s="577"/>
      <c r="AN178" s="577"/>
      <c r="AO178" s="577"/>
      <c r="AP178" s="577"/>
      <c r="AQ178" s="577"/>
      <c r="AR178" s="577"/>
      <c r="AS178" s="577"/>
      <c r="AT178" s="577"/>
      <c r="AU178" s="577"/>
      <c r="AV178" s="577"/>
      <c r="AW178" s="577"/>
      <c r="AX178" s="577"/>
      <c r="AY178" s="577"/>
      <c r="AZ178" s="577"/>
    </row>
    <row r="179" spans="1:52" ht="15.75" customHeight="1" x14ac:dyDescent="0.2">
      <c r="A179" s="577"/>
      <c r="B179" s="577"/>
      <c r="C179" s="577"/>
      <c r="D179" s="577"/>
      <c r="E179" s="577"/>
      <c r="F179" s="577"/>
      <c r="G179" s="577"/>
      <c r="H179" s="577"/>
      <c r="I179" s="577"/>
      <c r="J179" s="577"/>
      <c r="K179" s="577"/>
      <c r="L179" s="577"/>
      <c r="M179" s="577"/>
      <c r="N179" s="577"/>
      <c r="O179" s="577"/>
      <c r="P179" s="577"/>
      <c r="Q179" s="577"/>
      <c r="R179" s="577"/>
      <c r="S179" s="577"/>
      <c r="T179" s="577"/>
      <c r="U179" s="577"/>
      <c r="V179" s="577"/>
      <c r="W179" s="577"/>
      <c r="X179" s="577"/>
      <c r="Y179" s="577"/>
      <c r="Z179" s="577"/>
      <c r="AA179" s="577"/>
      <c r="AB179" s="577"/>
      <c r="AC179" s="577"/>
      <c r="AD179" s="577"/>
      <c r="AE179" s="577"/>
      <c r="AF179" s="577"/>
      <c r="AG179" s="577"/>
      <c r="AH179" s="577"/>
      <c r="AI179" s="577"/>
      <c r="AJ179" s="577"/>
      <c r="AK179" s="577"/>
      <c r="AL179" s="577"/>
      <c r="AM179" s="577"/>
      <c r="AN179" s="577"/>
      <c r="AO179" s="577"/>
      <c r="AP179" s="577"/>
      <c r="AQ179" s="577"/>
      <c r="AR179" s="577"/>
      <c r="AS179" s="577"/>
      <c r="AT179" s="577"/>
      <c r="AU179" s="577"/>
      <c r="AV179" s="577"/>
      <c r="AW179" s="577"/>
      <c r="AX179" s="577"/>
      <c r="AY179" s="577"/>
      <c r="AZ179" s="577"/>
    </row>
    <row r="180" spans="1:52" ht="15.75" customHeight="1" x14ac:dyDescent="0.2">
      <c r="A180" s="577"/>
      <c r="B180" s="577"/>
      <c r="C180" s="577"/>
      <c r="D180" s="577"/>
      <c r="E180" s="577"/>
      <c r="F180" s="577"/>
      <c r="G180" s="577"/>
      <c r="H180" s="577"/>
      <c r="I180" s="577"/>
      <c r="J180" s="577"/>
      <c r="K180" s="577"/>
      <c r="L180" s="577"/>
      <c r="M180" s="577"/>
      <c r="N180" s="577"/>
      <c r="O180" s="577"/>
      <c r="P180" s="577"/>
      <c r="Q180" s="577"/>
      <c r="R180" s="577"/>
      <c r="S180" s="577"/>
      <c r="T180" s="577"/>
      <c r="U180" s="577"/>
      <c r="V180" s="577"/>
      <c r="W180" s="577"/>
      <c r="X180" s="577"/>
      <c r="Y180" s="577"/>
      <c r="Z180" s="577"/>
      <c r="AA180" s="577"/>
      <c r="AB180" s="577"/>
      <c r="AC180" s="577"/>
      <c r="AD180" s="577"/>
      <c r="AE180" s="577"/>
      <c r="AF180" s="577"/>
      <c r="AG180" s="577"/>
      <c r="AH180" s="577"/>
      <c r="AI180" s="577"/>
      <c r="AJ180" s="577"/>
      <c r="AK180" s="577"/>
      <c r="AL180" s="577"/>
      <c r="AM180" s="577"/>
      <c r="AN180" s="577"/>
      <c r="AO180" s="577"/>
      <c r="AP180" s="577"/>
      <c r="AQ180" s="577"/>
      <c r="AR180" s="577"/>
      <c r="AS180" s="577"/>
      <c r="AT180" s="577"/>
      <c r="AU180" s="577"/>
      <c r="AV180" s="577"/>
      <c r="AW180" s="577"/>
      <c r="AX180" s="577"/>
      <c r="AY180" s="577"/>
      <c r="AZ180" s="577"/>
    </row>
    <row r="181" spans="1:52" ht="15.75" customHeight="1" x14ac:dyDescent="0.2">
      <c r="A181" s="577"/>
      <c r="B181" s="577"/>
      <c r="C181" s="577"/>
      <c r="D181" s="577"/>
      <c r="E181" s="577"/>
      <c r="F181" s="577"/>
      <c r="G181" s="577"/>
      <c r="H181" s="577"/>
      <c r="I181" s="577"/>
      <c r="J181" s="577"/>
      <c r="K181" s="577"/>
      <c r="L181" s="577"/>
      <c r="M181" s="577"/>
      <c r="N181" s="577"/>
      <c r="O181" s="577"/>
      <c r="P181" s="577"/>
      <c r="Q181" s="577"/>
      <c r="R181" s="577"/>
      <c r="S181" s="577"/>
      <c r="T181" s="577"/>
      <c r="U181" s="577"/>
      <c r="V181" s="577"/>
      <c r="W181" s="577"/>
      <c r="X181" s="577"/>
      <c r="Y181" s="577"/>
      <c r="Z181" s="577"/>
      <c r="AA181" s="577"/>
      <c r="AB181" s="577"/>
      <c r="AC181" s="577"/>
      <c r="AD181" s="577"/>
      <c r="AE181" s="577"/>
      <c r="AF181" s="577"/>
      <c r="AG181" s="577"/>
      <c r="AH181" s="577"/>
      <c r="AI181" s="577"/>
      <c r="AJ181" s="577"/>
      <c r="AK181" s="577"/>
      <c r="AL181" s="577"/>
      <c r="AM181" s="577"/>
      <c r="AN181" s="577"/>
      <c r="AO181" s="577"/>
      <c r="AP181" s="577"/>
      <c r="AQ181" s="577"/>
      <c r="AR181" s="577"/>
      <c r="AS181" s="577"/>
      <c r="AT181" s="577"/>
      <c r="AU181" s="577"/>
      <c r="AV181" s="577"/>
      <c r="AW181" s="577"/>
      <c r="AX181" s="577"/>
      <c r="AY181" s="577"/>
      <c r="AZ181" s="577"/>
    </row>
    <row r="182" spans="1:52" ht="15.75" customHeight="1" x14ac:dyDescent="0.2">
      <c r="A182" s="577"/>
      <c r="B182" s="577"/>
      <c r="C182" s="577"/>
      <c r="D182" s="577"/>
      <c r="E182" s="577"/>
      <c r="F182" s="577"/>
      <c r="G182" s="577"/>
      <c r="H182" s="577"/>
      <c r="I182" s="577"/>
      <c r="J182" s="577"/>
      <c r="K182" s="577"/>
      <c r="L182" s="577"/>
      <c r="M182" s="577"/>
      <c r="N182" s="577"/>
      <c r="O182" s="577"/>
      <c r="P182" s="577"/>
      <c r="Q182" s="577"/>
      <c r="R182" s="577"/>
      <c r="S182" s="577"/>
      <c r="T182" s="577"/>
      <c r="U182" s="577"/>
      <c r="V182" s="577"/>
      <c r="W182" s="577"/>
      <c r="X182" s="577"/>
      <c r="Y182" s="577"/>
      <c r="Z182" s="577"/>
      <c r="AA182" s="577"/>
      <c r="AB182" s="577"/>
      <c r="AC182" s="577"/>
      <c r="AD182" s="577"/>
      <c r="AE182" s="577"/>
      <c r="AF182" s="577"/>
      <c r="AG182" s="577"/>
      <c r="AH182" s="577"/>
      <c r="AI182" s="577"/>
      <c r="AJ182" s="577"/>
      <c r="AK182" s="577"/>
      <c r="AL182" s="577"/>
      <c r="AM182" s="577"/>
      <c r="AN182" s="577"/>
      <c r="AO182" s="577"/>
      <c r="AP182" s="577"/>
      <c r="AQ182" s="577"/>
      <c r="AR182" s="577"/>
      <c r="AS182" s="577"/>
      <c r="AT182" s="577"/>
      <c r="AU182" s="577"/>
      <c r="AV182" s="577"/>
      <c r="AW182" s="577"/>
      <c r="AX182" s="577"/>
      <c r="AY182" s="577"/>
      <c r="AZ182" s="577"/>
    </row>
    <row r="183" spans="1:52" ht="15.75" customHeight="1" x14ac:dyDescent="0.2">
      <c r="A183" s="577"/>
      <c r="B183" s="577"/>
      <c r="C183" s="577"/>
      <c r="D183" s="577"/>
      <c r="E183" s="577"/>
      <c r="F183" s="577"/>
      <c r="G183" s="577"/>
      <c r="H183" s="577"/>
      <c r="I183" s="577"/>
      <c r="J183" s="577"/>
      <c r="K183" s="577"/>
      <c r="L183" s="577"/>
      <c r="M183" s="577"/>
      <c r="N183" s="577"/>
      <c r="O183" s="577"/>
      <c r="P183" s="577"/>
      <c r="Q183" s="577"/>
      <c r="R183" s="577"/>
      <c r="S183" s="577"/>
      <c r="T183" s="577"/>
      <c r="U183" s="577"/>
      <c r="V183" s="577"/>
      <c r="W183" s="577"/>
      <c r="X183" s="577"/>
      <c r="Y183" s="577"/>
      <c r="Z183" s="577"/>
      <c r="AA183" s="577"/>
      <c r="AB183" s="577"/>
      <c r="AC183" s="577"/>
      <c r="AD183" s="577"/>
      <c r="AE183" s="577"/>
      <c r="AF183" s="577"/>
      <c r="AG183" s="577"/>
      <c r="AH183" s="577"/>
      <c r="AI183" s="577"/>
      <c r="AJ183" s="577"/>
      <c r="AK183" s="577"/>
      <c r="AL183" s="577"/>
      <c r="AM183" s="577"/>
      <c r="AN183" s="577"/>
      <c r="AO183" s="577"/>
      <c r="AP183" s="577"/>
      <c r="AQ183" s="577"/>
      <c r="AR183" s="577"/>
      <c r="AS183" s="577"/>
      <c r="AT183" s="577"/>
      <c r="AU183" s="577"/>
      <c r="AV183" s="577"/>
      <c r="AW183" s="577"/>
      <c r="AX183" s="577"/>
      <c r="AY183" s="577"/>
      <c r="AZ183" s="577"/>
    </row>
    <row r="184" spans="1:52" ht="15.75" customHeight="1" x14ac:dyDescent="0.2">
      <c r="A184" s="577"/>
      <c r="B184" s="577"/>
      <c r="C184" s="577"/>
      <c r="D184" s="577"/>
      <c r="E184" s="577"/>
      <c r="F184" s="577"/>
      <c r="G184" s="577"/>
      <c r="H184" s="577"/>
      <c r="I184" s="577"/>
      <c r="J184" s="577"/>
      <c r="K184" s="577"/>
      <c r="L184" s="577"/>
      <c r="M184" s="577"/>
      <c r="N184" s="577"/>
      <c r="O184" s="577"/>
      <c r="P184" s="577"/>
      <c r="Q184" s="577"/>
      <c r="R184" s="577"/>
      <c r="S184" s="577"/>
      <c r="T184" s="577"/>
      <c r="U184" s="577"/>
      <c r="V184" s="577"/>
      <c r="W184" s="577"/>
      <c r="X184" s="577"/>
      <c r="Y184" s="577"/>
      <c r="Z184" s="577"/>
      <c r="AA184" s="577"/>
      <c r="AB184" s="577"/>
      <c r="AC184" s="577"/>
      <c r="AD184" s="577"/>
      <c r="AE184" s="577"/>
      <c r="AF184" s="577"/>
      <c r="AG184" s="577"/>
      <c r="AH184" s="577"/>
      <c r="AI184" s="577"/>
      <c r="AJ184" s="577"/>
      <c r="AK184" s="577"/>
      <c r="AL184" s="577"/>
      <c r="AM184" s="577"/>
      <c r="AN184" s="577"/>
      <c r="AO184" s="577"/>
      <c r="AP184" s="577"/>
      <c r="AQ184" s="577"/>
      <c r="AR184" s="577"/>
      <c r="AS184" s="577"/>
      <c r="AT184" s="577"/>
      <c r="AU184" s="577"/>
      <c r="AV184" s="577"/>
      <c r="AW184" s="577"/>
      <c r="AX184" s="577"/>
      <c r="AY184" s="577"/>
      <c r="AZ184" s="577"/>
    </row>
    <row r="185" spans="1:52" ht="15.75" customHeight="1" x14ac:dyDescent="0.2">
      <c r="A185" s="577"/>
      <c r="B185" s="577"/>
      <c r="C185" s="577"/>
      <c r="D185" s="577"/>
      <c r="E185" s="577"/>
      <c r="F185" s="577"/>
      <c r="G185" s="577"/>
      <c r="H185" s="577"/>
      <c r="I185" s="577"/>
      <c r="J185" s="577"/>
      <c r="K185" s="577"/>
      <c r="L185" s="577"/>
      <c r="M185" s="577"/>
      <c r="N185" s="577"/>
      <c r="O185" s="577"/>
      <c r="P185" s="577"/>
      <c r="Q185" s="577"/>
      <c r="R185" s="577"/>
      <c r="S185" s="577"/>
      <c r="T185" s="577"/>
      <c r="U185" s="577"/>
      <c r="V185" s="577"/>
      <c r="W185" s="577"/>
      <c r="X185" s="577"/>
      <c r="Y185" s="577"/>
      <c r="Z185" s="577"/>
      <c r="AA185" s="577"/>
      <c r="AB185" s="577"/>
      <c r="AC185" s="577"/>
      <c r="AD185" s="577"/>
      <c r="AE185" s="577"/>
      <c r="AF185" s="577"/>
      <c r="AG185" s="577"/>
      <c r="AH185" s="577"/>
      <c r="AI185" s="577"/>
      <c r="AJ185" s="577"/>
      <c r="AK185" s="577"/>
      <c r="AL185" s="577"/>
      <c r="AM185" s="577"/>
      <c r="AN185" s="577"/>
      <c r="AO185" s="577"/>
      <c r="AP185" s="577"/>
      <c r="AQ185" s="577"/>
      <c r="AR185" s="577"/>
      <c r="AS185" s="577"/>
      <c r="AT185" s="577"/>
      <c r="AU185" s="577"/>
      <c r="AV185" s="577"/>
      <c r="AW185" s="577"/>
      <c r="AX185" s="577"/>
      <c r="AY185" s="577"/>
      <c r="AZ185" s="577"/>
    </row>
    <row r="186" spans="1:52" ht="15.75" customHeight="1" x14ac:dyDescent="0.2">
      <c r="A186" s="577"/>
      <c r="B186" s="577"/>
      <c r="C186" s="577"/>
      <c r="D186" s="577"/>
      <c r="E186" s="577"/>
      <c r="F186" s="577"/>
      <c r="G186" s="577"/>
      <c r="H186" s="577"/>
      <c r="I186" s="577"/>
      <c r="J186" s="577"/>
      <c r="K186" s="577"/>
      <c r="L186" s="577"/>
      <c r="M186" s="577"/>
      <c r="N186" s="577"/>
      <c r="O186" s="577"/>
      <c r="P186" s="577"/>
      <c r="Q186" s="577"/>
      <c r="R186" s="577"/>
      <c r="S186" s="577"/>
      <c r="T186" s="577"/>
      <c r="U186" s="577"/>
      <c r="V186" s="577"/>
      <c r="W186" s="577"/>
      <c r="X186" s="577"/>
      <c r="Y186" s="577"/>
      <c r="Z186" s="577"/>
      <c r="AA186" s="577"/>
      <c r="AB186" s="577"/>
      <c r="AC186" s="577"/>
      <c r="AD186" s="577"/>
      <c r="AE186" s="577"/>
      <c r="AF186" s="577"/>
      <c r="AG186" s="577"/>
      <c r="AH186" s="577"/>
      <c r="AI186" s="577"/>
      <c r="AJ186" s="577"/>
      <c r="AK186" s="577"/>
      <c r="AL186" s="577"/>
      <c r="AM186" s="577"/>
      <c r="AN186" s="577"/>
      <c r="AO186" s="577"/>
      <c r="AP186" s="577"/>
      <c r="AQ186" s="577"/>
      <c r="AR186" s="577"/>
      <c r="AS186" s="577"/>
      <c r="AT186" s="577"/>
      <c r="AU186" s="577"/>
      <c r="AV186" s="577"/>
      <c r="AW186" s="577"/>
      <c r="AX186" s="577"/>
      <c r="AY186" s="577"/>
      <c r="AZ186" s="577"/>
    </row>
    <row r="187" spans="1:52" ht="15.75" customHeight="1" x14ac:dyDescent="0.2">
      <c r="A187" s="577"/>
      <c r="B187" s="577"/>
      <c r="C187" s="577"/>
      <c r="D187" s="577"/>
      <c r="E187" s="577"/>
      <c r="F187" s="577"/>
      <c r="G187" s="577"/>
      <c r="H187" s="577"/>
      <c r="I187" s="577"/>
      <c r="J187" s="577"/>
      <c r="K187" s="577"/>
      <c r="L187" s="577"/>
      <c r="M187" s="577"/>
      <c r="N187" s="577"/>
      <c r="O187" s="577"/>
      <c r="P187" s="577"/>
      <c r="Q187" s="577"/>
      <c r="R187" s="577"/>
      <c r="S187" s="577"/>
      <c r="T187" s="577"/>
      <c r="U187" s="577"/>
      <c r="V187" s="577"/>
      <c r="W187" s="577"/>
      <c r="X187" s="577"/>
      <c r="Y187" s="577"/>
      <c r="Z187" s="577"/>
      <c r="AA187" s="577"/>
      <c r="AB187" s="577"/>
      <c r="AC187" s="577"/>
      <c r="AD187" s="577"/>
      <c r="AE187" s="577"/>
      <c r="AF187" s="577"/>
      <c r="AG187" s="577"/>
      <c r="AH187" s="577"/>
      <c r="AI187" s="577"/>
      <c r="AJ187" s="577"/>
      <c r="AK187" s="577"/>
      <c r="AL187" s="577"/>
      <c r="AM187" s="577"/>
      <c r="AN187" s="577"/>
      <c r="AO187" s="577"/>
      <c r="AP187" s="577"/>
      <c r="AQ187" s="577"/>
      <c r="AR187" s="577"/>
      <c r="AS187" s="577"/>
      <c r="AT187" s="577"/>
      <c r="AU187" s="577"/>
      <c r="AV187" s="577"/>
      <c r="AW187" s="577"/>
      <c r="AX187" s="577"/>
      <c r="AY187" s="577"/>
      <c r="AZ187" s="577"/>
    </row>
    <row r="188" spans="1:52" ht="15.75" customHeight="1" x14ac:dyDescent="0.2">
      <c r="A188" s="577"/>
      <c r="B188" s="577"/>
      <c r="C188" s="577"/>
      <c r="D188" s="577"/>
      <c r="E188" s="577"/>
      <c r="F188" s="577"/>
      <c r="G188" s="577"/>
      <c r="H188" s="577"/>
      <c r="I188" s="577"/>
      <c r="J188" s="577"/>
      <c r="K188" s="577"/>
      <c r="L188" s="577"/>
      <c r="M188" s="577"/>
      <c r="N188" s="577"/>
      <c r="O188" s="577"/>
      <c r="P188" s="577"/>
      <c r="Q188" s="577"/>
      <c r="R188" s="577"/>
      <c r="S188" s="577"/>
      <c r="T188" s="577"/>
      <c r="U188" s="577"/>
      <c r="V188" s="577"/>
      <c r="W188" s="577"/>
      <c r="X188" s="577"/>
      <c r="Y188" s="577"/>
      <c r="Z188" s="577"/>
      <c r="AA188" s="577"/>
      <c r="AB188" s="577"/>
      <c r="AC188" s="577"/>
      <c r="AD188" s="577"/>
      <c r="AE188" s="577"/>
      <c r="AF188" s="577"/>
      <c r="AG188" s="577"/>
      <c r="AH188" s="577"/>
      <c r="AI188" s="577"/>
      <c r="AJ188" s="577"/>
      <c r="AK188" s="577"/>
      <c r="AL188" s="577"/>
      <c r="AM188" s="577"/>
      <c r="AN188" s="577"/>
      <c r="AO188" s="577"/>
      <c r="AP188" s="577"/>
      <c r="AQ188" s="577"/>
      <c r="AR188" s="577"/>
      <c r="AS188" s="577"/>
      <c r="AT188" s="577"/>
      <c r="AU188" s="577"/>
      <c r="AV188" s="577"/>
      <c r="AW188" s="577"/>
      <c r="AX188" s="577"/>
      <c r="AY188" s="577"/>
      <c r="AZ188" s="577"/>
    </row>
    <row r="189" spans="1:52" ht="15.75" customHeight="1" x14ac:dyDescent="0.2">
      <c r="A189" s="577"/>
      <c r="B189" s="577"/>
      <c r="C189" s="577"/>
      <c r="D189" s="577"/>
      <c r="E189" s="577"/>
      <c r="F189" s="577"/>
      <c r="G189" s="577"/>
      <c r="H189" s="577"/>
      <c r="I189" s="577"/>
      <c r="J189" s="577"/>
      <c r="K189" s="577"/>
      <c r="L189" s="577"/>
      <c r="M189" s="577"/>
      <c r="N189" s="577"/>
      <c r="O189" s="577"/>
      <c r="P189" s="577"/>
      <c r="Q189" s="577"/>
      <c r="R189" s="577"/>
      <c r="S189" s="577"/>
      <c r="T189" s="577"/>
      <c r="U189" s="577"/>
      <c r="V189" s="577"/>
      <c r="W189" s="577"/>
      <c r="X189" s="577"/>
      <c r="Y189" s="577"/>
      <c r="Z189" s="577"/>
      <c r="AA189" s="577"/>
      <c r="AB189" s="577"/>
      <c r="AC189" s="577"/>
      <c r="AD189" s="577"/>
      <c r="AE189" s="577"/>
      <c r="AF189" s="577"/>
      <c r="AG189" s="577"/>
      <c r="AH189" s="577"/>
      <c r="AI189" s="577"/>
      <c r="AJ189" s="577"/>
      <c r="AK189" s="577"/>
      <c r="AL189" s="577"/>
      <c r="AM189" s="577"/>
      <c r="AN189" s="577"/>
      <c r="AO189" s="577"/>
      <c r="AP189" s="577"/>
      <c r="AQ189" s="577"/>
      <c r="AR189" s="577"/>
      <c r="AS189" s="577"/>
      <c r="AT189" s="577"/>
      <c r="AU189" s="577"/>
      <c r="AV189" s="577"/>
      <c r="AW189" s="577"/>
      <c r="AX189" s="577"/>
      <c r="AY189" s="577"/>
      <c r="AZ189" s="577"/>
    </row>
    <row r="190" spans="1:52" ht="15.75" customHeight="1" x14ac:dyDescent="0.2">
      <c r="A190" s="577"/>
      <c r="B190" s="577"/>
      <c r="C190" s="577"/>
      <c r="D190" s="577"/>
      <c r="E190" s="577"/>
      <c r="F190" s="577"/>
      <c r="G190" s="577"/>
      <c r="H190" s="577"/>
      <c r="I190" s="577"/>
      <c r="J190" s="577"/>
      <c r="K190" s="577"/>
      <c r="L190" s="577"/>
      <c r="M190" s="577"/>
      <c r="N190" s="577"/>
      <c r="O190" s="577"/>
      <c r="P190" s="577"/>
      <c r="Q190" s="577"/>
      <c r="R190" s="577"/>
      <c r="S190" s="577"/>
      <c r="T190" s="577"/>
      <c r="U190" s="577"/>
      <c r="V190" s="577"/>
      <c r="W190" s="577"/>
      <c r="X190" s="577"/>
      <c r="Y190" s="577"/>
      <c r="Z190" s="577"/>
      <c r="AA190" s="577"/>
      <c r="AB190" s="577"/>
      <c r="AC190" s="577"/>
      <c r="AD190" s="577"/>
      <c r="AE190" s="577"/>
      <c r="AF190" s="577"/>
      <c r="AG190" s="577"/>
      <c r="AH190" s="577"/>
      <c r="AI190" s="577"/>
      <c r="AJ190" s="577"/>
      <c r="AK190" s="577"/>
      <c r="AL190" s="577"/>
      <c r="AM190" s="577"/>
      <c r="AN190" s="577"/>
      <c r="AO190" s="577"/>
      <c r="AP190" s="577"/>
      <c r="AQ190" s="577"/>
      <c r="AR190" s="577"/>
      <c r="AS190" s="577"/>
      <c r="AT190" s="577"/>
      <c r="AU190" s="577"/>
      <c r="AV190" s="577"/>
      <c r="AW190" s="577"/>
      <c r="AX190" s="577"/>
      <c r="AY190" s="577"/>
      <c r="AZ190" s="577"/>
    </row>
    <row r="191" spans="1:52" ht="15.75" customHeight="1" x14ac:dyDescent="0.2">
      <c r="A191" s="577"/>
      <c r="B191" s="577"/>
      <c r="C191" s="577"/>
      <c r="D191" s="577"/>
      <c r="E191" s="577"/>
      <c r="F191" s="577"/>
      <c r="G191" s="577"/>
      <c r="H191" s="577"/>
      <c r="I191" s="577"/>
      <c r="J191" s="577"/>
      <c r="K191" s="577"/>
      <c r="L191" s="577"/>
      <c r="M191" s="577"/>
      <c r="N191" s="577"/>
      <c r="O191" s="577"/>
      <c r="P191" s="577"/>
      <c r="Q191" s="577"/>
      <c r="R191" s="577"/>
      <c r="S191" s="577"/>
      <c r="T191" s="577"/>
      <c r="U191" s="577"/>
      <c r="V191" s="577"/>
      <c r="W191" s="577"/>
      <c r="X191" s="577"/>
      <c r="Y191" s="577"/>
      <c r="Z191" s="577"/>
      <c r="AA191" s="577"/>
      <c r="AB191" s="577"/>
      <c r="AC191" s="577"/>
      <c r="AD191" s="577"/>
      <c r="AE191" s="577"/>
      <c r="AF191" s="577"/>
      <c r="AG191" s="577"/>
      <c r="AH191" s="577"/>
      <c r="AI191" s="577"/>
      <c r="AJ191" s="577"/>
      <c r="AK191" s="577"/>
      <c r="AL191" s="577"/>
      <c r="AM191" s="577"/>
      <c r="AN191" s="577"/>
      <c r="AO191" s="577"/>
      <c r="AP191" s="577"/>
      <c r="AQ191" s="577"/>
      <c r="AR191" s="577"/>
      <c r="AS191" s="577"/>
      <c r="AT191" s="577"/>
      <c r="AU191" s="577"/>
      <c r="AV191" s="577"/>
      <c r="AW191" s="577"/>
      <c r="AX191" s="577"/>
      <c r="AY191" s="577"/>
      <c r="AZ191" s="577"/>
    </row>
    <row r="192" spans="1:52" ht="15.75" customHeight="1" x14ac:dyDescent="0.2">
      <c r="A192" s="577"/>
      <c r="B192" s="577"/>
      <c r="C192" s="577"/>
      <c r="D192" s="577"/>
      <c r="E192" s="577"/>
      <c r="F192" s="577"/>
      <c r="G192" s="577"/>
      <c r="H192" s="577"/>
      <c r="I192" s="577"/>
      <c r="J192" s="577"/>
      <c r="K192" s="577"/>
      <c r="L192" s="577"/>
      <c r="M192" s="577"/>
      <c r="N192" s="577"/>
      <c r="O192" s="577"/>
      <c r="P192" s="577"/>
      <c r="Q192" s="577"/>
      <c r="R192" s="577"/>
      <c r="S192" s="577"/>
      <c r="T192" s="577"/>
      <c r="U192" s="577"/>
      <c r="V192" s="577"/>
      <c r="W192" s="577"/>
      <c r="X192" s="577"/>
      <c r="Y192" s="577"/>
      <c r="Z192" s="577"/>
      <c r="AA192" s="577"/>
      <c r="AB192" s="577"/>
      <c r="AC192" s="577"/>
      <c r="AD192" s="577"/>
      <c r="AE192" s="577"/>
      <c r="AF192" s="577"/>
      <c r="AG192" s="577"/>
      <c r="AH192" s="577"/>
      <c r="AI192" s="577"/>
      <c r="AJ192" s="577"/>
      <c r="AK192" s="577"/>
      <c r="AL192" s="577"/>
      <c r="AM192" s="577"/>
      <c r="AN192" s="577"/>
      <c r="AO192" s="577"/>
      <c r="AP192" s="577"/>
      <c r="AQ192" s="577"/>
      <c r="AR192" s="577"/>
      <c r="AS192" s="577"/>
      <c r="AT192" s="577"/>
      <c r="AU192" s="577"/>
      <c r="AV192" s="577"/>
      <c r="AW192" s="577"/>
      <c r="AX192" s="577"/>
      <c r="AY192" s="577"/>
      <c r="AZ192" s="577"/>
    </row>
    <row r="193" spans="1:52" ht="15.75" customHeight="1" x14ac:dyDescent="0.2">
      <c r="A193" s="577"/>
      <c r="B193" s="577"/>
      <c r="C193" s="577"/>
      <c r="D193" s="577"/>
      <c r="E193" s="577"/>
      <c r="F193" s="577"/>
      <c r="G193" s="577"/>
      <c r="H193" s="577"/>
      <c r="I193" s="577"/>
      <c r="J193" s="577"/>
      <c r="K193" s="577"/>
      <c r="L193" s="577"/>
      <c r="M193" s="577"/>
      <c r="N193" s="577"/>
      <c r="O193" s="577"/>
      <c r="P193" s="577"/>
      <c r="Q193" s="577"/>
      <c r="R193" s="577"/>
      <c r="S193" s="577"/>
      <c r="T193" s="577"/>
      <c r="U193" s="577"/>
      <c r="V193" s="577"/>
      <c r="W193" s="577"/>
      <c r="X193" s="577"/>
      <c r="Y193" s="577"/>
      <c r="Z193" s="577"/>
      <c r="AA193" s="577"/>
      <c r="AB193" s="577"/>
      <c r="AC193" s="577"/>
      <c r="AD193" s="577"/>
      <c r="AE193" s="577"/>
      <c r="AF193" s="577"/>
      <c r="AG193" s="577"/>
      <c r="AH193" s="577"/>
      <c r="AI193" s="577"/>
      <c r="AJ193" s="577"/>
      <c r="AK193" s="577"/>
      <c r="AL193" s="577"/>
      <c r="AM193" s="577"/>
      <c r="AN193" s="577"/>
      <c r="AO193" s="577"/>
      <c r="AP193" s="577"/>
      <c r="AQ193" s="577"/>
      <c r="AR193" s="577"/>
      <c r="AS193" s="577"/>
      <c r="AT193" s="577"/>
      <c r="AU193" s="577"/>
      <c r="AV193" s="577"/>
      <c r="AW193" s="577"/>
      <c r="AX193" s="577"/>
      <c r="AY193" s="577"/>
      <c r="AZ193" s="577"/>
    </row>
    <row r="194" spans="1:52" ht="15.75" customHeight="1" x14ac:dyDescent="0.2">
      <c r="A194" s="577"/>
      <c r="B194" s="577"/>
      <c r="C194" s="577"/>
      <c r="D194" s="577"/>
      <c r="E194" s="577"/>
      <c r="F194" s="577"/>
      <c r="G194" s="577"/>
      <c r="H194" s="577"/>
      <c r="I194" s="577"/>
      <c r="J194" s="577"/>
      <c r="K194" s="577"/>
      <c r="L194" s="577"/>
      <c r="M194" s="577"/>
      <c r="N194" s="577"/>
      <c r="O194" s="577"/>
      <c r="P194" s="577"/>
      <c r="Q194" s="577"/>
      <c r="R194" s="577"/>
      <c r="S194" s="577"/>
      <c r="T194" s="577"/>
      <c r="U194" s="577"/>
      <c r="V194" s="577"/>
      <c r="W194" s="577"/>
      <c r="X194" s="577"/>
      <c r="Y194" s="577"/>
      <c r="Z194" s="577"/>
      <c r="AA194" s="577"/>
      <c r="AB194" s="577"/>
      <c r="AC194" s="577"/>
      <c r="AD194" s="577"/>
      <c r="AE194" s="577"/>
      <c r="AF194" s="577"/>
      <c r="AG194" s="577"/>
      <c r="AH194" s="577"/>
      <c r="AI194" s="577"/>
      <c r="AJ194" s="577"/>
      <c r="AK194" s="577"/>
      <c r="AL194" s="577"/>
      <c r="AM194" s="577"/>
      <c r="AN194" s="577"/>
      <c r="AO194" s="577"/>
      <c r="AP194" s="577"/>
      <c r="AQ194" s="577"/>
      <c r="AR194" s="577"/>
      <c r="AS194" s="577"/>
      <c r="AT194" s="577"/>
      <c r="AU194" s="577"/>
      <c r="AV194" s="577"/>
      <c r="AW194" s="577"/>
      <c r="AX194" s="577"/>
      <c r="AY194" s="577"/>
      <c r="AZ194" s="577"/>
    </row>
    <row r="195" spans="1:52" ht="15.75" customHeight="1" x14ac:dyDescent="0.2">
      <c r="A195" s="577"/>
      <c r="B195" s="577"/>
      <c r="C195" s="577"/>
      <c r="D195" s="577"/>
      <c r="E195" s="577"/>
      <c r="F195" s="577"/>
      <c r="G195" s="577"/>
      <c r="H195" s="577"/>
      <c r="I195" s="577"/>
      <c r="J195" s="577"/>
      <c r="K195" s="577"/>
      <c r="L195" s="577"/>
      <c r="M195" s="577"/>
      <c r="N195" s="577"/>
      <c r="O195" s="577"/>
      <c r="P195" s="577"/>
      <c r="Q195" s="577"/>
      <c r="R195" s="577"/>
      <c r="S195" s="577"/>
      <c r="T195" s="577"/>
      <c r="U195" s="577"/>
      <c r="V195" s="577"/>
      <c r="W195" s="577"/>
      <c r="X195" s="577"/>
      <c r="Y195" s="577"/>
      <c r="Z195" s="577"/>
      <c r="AA195" s="577"/>
      <c r="AB195" s="577"/>
      <c r="AC195" s="577"/>
      <c r="AD195" s="577"/>
      <c r="AE195" s="577"/>
      <c r="AF195" s="577"/>
      <c r="AG195" s="577"/>
      <c r="AH195" s="577"/>
      <c r="AI195" s="577"/>
      <c r="AJ195" s="577"/>
      <c r="AK195" s="577"/>
      <c r="AL195" s="577"/>
      <c r="AM195" s="577"/>
      <c r="AN195" s="577"/>
      <c r="AO195" s="577"/>
      <c r="AP195" s="577"/>
      <c r="AQ195" s="577"/>
      <c r="AR195" s="577"/>
      <c r="AS195" s="577"/>
      <c r="AT195" s="577"/>
      <c r="AU195" s="577"/>
      <c r="AV195" s="577"/>
      <c r="AW195" s="577"/>
      <c r="AX195" s="577"/>
      <c r="AY195" s="577"/>
      <c r="AZ195" s="577"/>
    </row>
    <row r="196" spans="1:52" ht="0" hidden="1" customHeight="1" x14ac:dyDescent="0.2">
      <c r="A196" s="624"/>
      <c r="B196" s="624"/>
      <c r="C196" s="624"/>
      <c r="D196" s="624"/>
      <c r="E196" s="624"/>
      <c r="F196" s="624"/>
      <c r="G196" s="624"/>
      <c r="H196" s="624"/>
      <c r="I196" s="624"/>
      <c r="J196" s="624"/>
      <c r="K196" s="624"/>
      <c r="L196" s="624"/>
      <c r="M196" s="624"/>
      <c r="N196" s="624"/>
      <c r="O196" s="624"/>
      <c r="P196" s="624"/>
      <c r="Q196" s="624"/>
      <c r="R196" s="624"/>
      <c r="S196" s="624"/>
      <c r="T196" s="624"/>
      <c r="U196" s="624"/>
      <c r="V196" s="624"/>
      <c r="W196" s="624"/>
      <c r="X196" s="624"/>
      <c r="Y196" s="624"/>
      <c r="Z196" s="624"/>
      <c r="AA196" s="624"/>
      <c r="AB196" s="624"/>
      <c r="AC196" s="624"/>
      <c r="AD196" s="624"/>
      <c r="AE196" s="624"/>
      <c r="AF196" s="624"/>
      <c r="AG196" s="624"/>
      <c r="AH196" s="624"/>
      <c r="AI196" s="624"/>
      <c r="AJ196" s="624"/>
      <c r="AK196" s="624"/>
      <c r="AL196" s="624"/>
      <c r="AM196" s="624"/>
      <c r="AN196" s="624"/>
      <c r="AO196" s="624"/>
      <c r="AP196" s="624"/>
      <c r="AQ196" s="624"/>
      <c r="AR196" s="624"/>
      <c r="AS196" s="624"/>
      <c r="AT196" s="624"/>
      <c r="AU196" s="624"/>
      <c r="AV196" s="624"/>
      <c r="AW196" s="624"/>
      <c r="AX196" s="624"/>
      <c r="AY196" s="624"/>
      <c r="AZ196" s="624"/>
    </row>
    <row r="197" spans="1:52" ht="0" hidden="1" customHeight="1" x14ac:dyDescent="0.2">
      <c r="A197" s="624"/>
      <c r="B197" s="624"/>
      <c r="C197" s="624"/>
      <c r="D197" s="624"/>
      <c r="E197" s="624"/>
      <c r="F197" s="624"/>
      <c r="G197" s="624"/>
      <c r="H197" s="624"/>
      <c r="I197" s="624"/>
      <c r="J197" s="624"/>
      <c r="K197" s="624"/>
      <c r="L197" s="624"/>
      <c r="M197" s="624"/>
      <c r="N197" s="624"/>
      <c r="O197" s="624"/>
      <c r="P197" s="624"/>
      <c r="Q197" s="624"/>
      <c r="R197" s="624"/>
      <c r="S197" s="624"/>
      <c r="T197" s="624"/>
      <c r="U197" s="624"/>
      <c r="V197" s="624"/>
      <c r="W197" s="624"/>
      <c r="X197" s="624"/>
      <c r="Y197" s="624"/>
      <c r="Z197" s="624"/>
      <c r="AA197" s="624"/>
      <c r="AB197" s="624"/>
      <c r="AC197" s="624"/>
      <c r="AD197" s="624"/>
      <c r="AE197" s="624"/>
      <c r="AF197" s="624"/>
      <c r="AG197" s="624"/>
      <c r="AH197" s="624"/>
      <c r="AI197" s="624"/>
      <c r="AJ197" s="624"/>
      <c r="AK197" s="624"/>
      <c r="AL197" s="624"/>
      <c r="AM197" s="624"/>
      <c r="AN197" s="624"/>
      <c r="AO197" s="624"/>
      <c r="AP197" s="624"/>
      <c r="AQ197" s="624"/>
      <c r="AR197" s="624"/>
      <c r="AS197" s="624"/>
      <c r="AT197" s="624"/>
      <c r="AU197" s="624"/>
      <c r="AV197" s="624"/>
      <c r="AW197" s="624"/>
      <c r="AX197" s="624"/>
      <c r="AY197" s="624"/>
      <c r="AZ197" s="624"/>
    </row>
    <row r="198" spans="1:52" ht="0" hidden="1" customHeight="1" x14ac:dyDescent="0.2">
      <c r="A198" s="624"/>
      <c r="B198" s="624"/>
      <c r="C198" s="624"/>
      <c r="D198" s="624"/>
      <c r="E198" s="624"/>
      <c r="F198" s="624"/>
      <c r="G198" s="624"/>
      <c r="H198" s="624"/>
      <c r="I198" s="624"/>
      <c r="J198" s="624"/>
      <c r="K198" s="624"/>
      <c r="L198" s="624"/>
      <c r="M198" s="624"/>
      <c r="N198" s="624"/>
      <c r="O198" s="624"/>
      <c r="P198" s="624"/>
      <c r="Q198" s="624"/>
      <c r="R198" s="624"/>
      <c r="S198" s="624"/>
      <c r="T198" s="624"/>
      <c r="U198" s="624"/>
      <c r="V198" s="624"/>
      <c r="W198" s="624"/>
      <c r="X198" s="624"/>
      <c r="Y198" s="624"/>
      <c r="Z198" s="624"/>
      <c r="AA198" s="624"/>
      <c r="AB198" s="624"/>
      <c r="AC198" s="624"/>
      <c r="AD198" s="624"/>
      <c r="AE198" s="624"/>
      <c r="AF198" s="624"/>
      <c r="AG198" s="624"/>
      <c r="AH198" s="624"/>
      <c r="AI198" s="624"/>
      <c r="AJ198" s="624"/>
      <c r="AK198" s="624"/>
      <c r="AL198" s="624"/>
      <c r="AM198" s="624"/>
      <c r="AN198" s="624"/>
      <c r="AO198" s="624"/>
      <c r="AP198" s="624"/>
      <c r="AQ198" s="624"/>
      <c r="AR198" s="624"/>
      <c r="AS198" s="624"/>
      <c r="AT198" s="624"/>
      <c r="AU198" s="624"/>
      <c r="AV198" s="624"/>
      <c r="AW198" s="624"/>
      <c r="AX198" s="624"/>
      <c r="AY198" s="624"/>
      <c r="AZ198" s="624"/>
    </row>
    <row r="199" spans="1:52" ht="0" hidden="1" customHeight="1" x14ac:dyDescent="0.2">
      <c r="A199" s="624"/>
      <c r="B199" s="624"/>
      <c r="C199" s="624"/>
      <c r="D199" s="624"/>
      <c r="E199" s="624"/>
      <c r="F199" s="624"/>
      <c r="G199" s="624"/>
      <c r="H199" s="624"/>
      <c r="I199" s="624"/>
      <c r="J199" s="624"/>
      <c r="K199" s="624"/>
      <c r="L199" s="624"/>
      <c r="M199" s="624"/>
      <c r="N199" s="624"/>
      <c r="O199" s="624"/>
      <c r="P199" s="624"/>
      <c r="Q199" s="624"/>
      <c r="R199" s="624"/>
      <c r="S199" s="624"/>
      <c r="T199" s="624"/>
      <c r="U199" s="624"/>
      <c r="V199" s="624"/>
      <c r="W199" s="624"/>
      <c r="X199" s="624"/>
      <c r="Y199" s="624"/>
      <c r="Z199" s="624"/>
      <c r="AA199" s="624"/>
      <c r="AB199" s="624"/>
      <c r="AC199" s="624"/>
      <c r="AD199" s="624"/>
      <c r="AE199" s="624"/>
      <c r="AF199" s="624"/>
      <c r="AG199" s="624"/>
      <c r="AH199" s="624"/>
      <c r="AI199" s="624"/>
      <c r="AJ199" s="624"/>
      <c r="AK199" s="624"/>
      <c r="AL199" s="624"/>
      <c r="AM199" s="624"/>
      <c r="AN199" s="624"/>
      <c r="AO199" s="624"/>
      <c r="AP199" s="624"/>
      <c r="AQ199" s="624"/>
      <c r="AR199" s="624"/>
      <c r="AS199" s="624"/>
      <c r="AT199" s="624"/>
      <c r="AU199" s="624"/>
      <c r="AV199" s="624"/>
      <c r="AW199" s="624"/>
      <c r="AX199" s="624"/>
      <c r="AY199" s="624"/>
      <c r="AZ199" s="624"/>
    </row>
    <row r="200" spans="1:52" ht="0" hidden="1" customHeight="1" x14ac:dyDescent="0.2">
      <c r="A200" s="624"/>
      <c r="B200" s="624"/>
      <c r="C200" s="624"/>
      <c r="D200" s="624"/>
      <c r="E200" s="624"/>
      <c r="F200" s="624"/>
      <c r="G200" s="624"/>
      <c r="H200" s="624"/>
      <c r="I200" s="624"/>
      <c r="J200" s="624"/>
      <c r="K200" s="624"/>
      <c r="L200" s="624"/>
      <c r="M200" s="624"/>
      <c r="N200" s="624"/>
      <c r="O200" s="624"/>
      <c r="P200" s="624"/>
      <c r="Q200" s="624"/>
      <c r="R200" s="624"/>
      <c r="S200" s="624"/>
      <c r="T200" s="624"/>
      <c r="U200" s="624"/>
      <c r="V200" s="624"/>
      <c r="W200" s="624"/>
      <c r="X200" s="624"/>
      <c r="Y200" s="624"/>
      <c r="Z200" s="624"/>
      <c r="AA200" s="624"/>
      <c r="AB200" s="624"/>
      <c r="AC200" s="624"/>
      <c r="AD200" s="624"/>
      <c r="AE200" s="624"/>
      <c r="AF200" s="624"/>
      <c r="AG200" s="624"/>
      <c r="AH200" s="624"/>
      <c r="AI200" s="624"/>
      <c r="AJ200" s="624"/>
      <c r="AK200" s="624"/>
      <c r="AL200" s="624"/>
      <c r="AM200" s="624"/>
      <c r="AN200" s="624"/>
      <c r="AO200" s="624"/>
      <c r="AP200" s="624"/>
      <c r="AQ200" s="624"/>
      <c r="AR200" s="624"/>
      <c r="AS200" s="624"/>
      <c r="AT200" s="624"/>
      <c r="AU200" s="624"/>
      <c r="AV200" s="624"/>
      <c r="AW200" s="624"/>
      <c r="AX200" s="624"/>
      <c r="AY200" s="624"/>
      <c r="AZ200" s="624"/>
    </row>
  </sheetData>
  <sheetProtection formatCells="0" formatColumns="0" formatRows="0" autoFilter="0"/>
  <pageMargins left="0.75" right="0.75" top="1" bottom="1" header="0.5" footer="0.5"/>
  <pageSetup scale="62" orientation="portrait"/>
  <headerFooter alignWithMargins="0">
    <oddHeader>&amp;CSpring 2018 Exam 5 Make-Up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Z200"/>
  <sheetViews>
    <sheetView zoomScale="90" zoomScaleNormal="90" zoomScalePageLayoutView="60" workbookViewId="0"/>
  </sheetViews>
  <sheetFormatPr defaultColWidth="0" defaultRowHeight="0" customHeight="1" zeroHeight="1" x14ac:dyDescent="0.2"/>
  <cols>
    <col min="1" max="2" width="11.125" style="578" customWidth="1"/>
    <col min="3" max="3" width="12.75" style="578" customWidth="1"/>
    <col min="4" max="10" width="11.125" style="578" customWidth="1"/>
    <col min="11" max="11" width="8.875" style="578" customWidth="1"/>
    <col min="12" max="12" width="9.75" style="578" customWidth="1"/>
    <col min="13" max="13" width="7.625" style="578" customWidth="1"/>
    <col min="14" max="16" width="8.625" style="578" bestFit="1" customWidth="1"/>
    <col min="17" max="18" width="7.625" style="578" customWidth="1"/>
    <col min="19" max="19" width="14.375" style="578" bestFit="1" customWidth="1"/>
    <col min="20" max="20" width="11.5" style="578" bestFit="1" customWidth="1"/>
    <col min="21" max="26" width="13" style="578" customWidth="1"/>
    <col min="27" max="49" width="7.625" style="578" customWidth="1"/>
    <col min="50" max="16384" width="7.625" style="578" hidden="1"/>
  </cols>
  <sheetData>
    <row r="1" spans="1:52" ht="15.75" customHeight="1" thickBot="1" x14ac:dyDescent="0.25">
      <c r="A1" s="1">
        <v>17</v>
      </c>
      <c r="B1" s="2"/>
      <c r="C1" s="574"/>
      <c r="D1" s="575"/>
      <c r="E1" s="575"/>
      <c r="F1" s="575"/>
      <c r="G1" s="575"/>
      <c r="H1" s="575"/>
      <c r="I1" s="575"/>
      <c r="J1" s="575"/>
      <c r="K1" s="575"/>
      <c r="L1" s="575"/>
      <c r="M1" s="576"/>
      <c r="N1" s="577"/>
      <c r="O1" s="577"/>
      <c r="P1" s="577"/>
      <c r="Q1" s="577"/>
      <c r="R1" s="577"/>
      <c r="S1" s="577"/>
      <c r="T1" s="577"/>
      <c r="U1" s="577"/>
      <c r="V1" s="577"/>
      <c r="W1" s="577"/>
      <c r="X1" s="577"/>
      <c r="Y1" s="577"/>
      <c r="Z1" s="577"/>
      <c r="AA1" s="577"/>
      <c r="AB1" s="577"/>
      <c r="AC1" s="577"/>
      <c r="AD1" s="577"/>
      <c r="AE1" s="577"/>
      <c r="AF1" s="577"/>
      <c r="AG1" s="577"/>
      <c r="AH1" s="577"/>
      <c r="AI1" s="577"/>
      <c r="AJ1" s="577"/>
      <c r="AK1" s="577"/>
      <c r="AL1" s="577"/>
      <c r="AM1" s="577"/>
      <c r="AN1" s="577"/>
      <c r="AO1" s="577"/>
      <c r="AP1" s="577"/>
      <c r="AQ1" s="577"/>
      <c r="AR1" s="577"/>
      <c r="AS1" s="577"/>
      <c r="AT1" s="577"/>
      <c r="AU1" s="577"/>
      <c r="AV1" s="577"/>
      <c r="AW1" s="577"/>
      <c r="AX1" s="577"/>
      <c r="AY1" s="577"/>
      <c r="AZ1" s="577"/>
    </row>
    <row r="2" spans="1:52" ht="15.75" customHeight="1" x14ac:dyDescent="0.2">
      <c r="A2" s="579" t="s">
        <v>0</v>
      </c>
      <c r="B2" s="580"/>
      <c r="C2" s="581"/>
      <c r="D2" s="581"/>
      <c r="E2" s="581"/>
      <c r="F2" s="581"/>
      <c r="G2" s="581"/>
      <c r="H2" s="581"/>
      <c r="I2" s="581"/>
      <c r="J2" s="581"/>
      <c r="K2" s="581"/>
      <c r="L2" s="581"/>
      <c r="M2" s="582"/>
      <c r="N2" s="577"/>
      <c r="O2" s="577"/>
      <c r="P2" s="577"/>
      <c r="Q2" s="577"/>
      <c r="R2" s="577"/>
      <c r="S2" s="577"/>
      <c r="T2" s="577"/>
      <c r="U2" s="577" t="str">
        <f>V21</f>
        <v>ay</v>
      </c>
      <c r="V2" s="577" t="s">
        <v>593</v>
      </c>
      <c r="W2" s="577"/>
      <c r="X2" s="577"/>
      <c r="Y2" s="577"/>
      <c r="Z2" s="577"/>
      <c r="AA2" s="577"/>
      <c r="AB2" s="577"/>
      <c r="AC2" s="577"/>
      <c r="AD2" s="577"/>
      <c r="AE2" s="577"/>
      <c r="AF2" s="577"/>
      <c r="AG2" s="577"/>
      <c r="AH2" s="577"/>
      <c r="AI2" s="577"/>
      <c r="AJ2" s="577"/>
      <c r="AK2" s="577"/>
      <c r="AL2" s="577"/>
      <c r="AM2" s="577"/>
      <c r="AN2" s="577"/>
      <c r="AO2" s="577"/>
      <c r="AP2" s="577"/>
      <c r="AQ2" s="577"/>
      <c r="AR2" s="577"/>
      <c r="AS2" s="577"/>
      <c r="AT2" s="577"/>
      <c r="AU2" s="577"/>
      <c r="AV2" s="577"/>
      <c r="AW2" s="577"/>
      <c r="AX2" s="577"/>
      <c r="AY2" s="577"/>
      <c r="AZ2" s="577"/>
    </row>
    <row r="3" spans="1:52" ht="15.75" customHeight="1" x14ac:dyDescent="0.2">
      <c r="A3" s="583">
        <v>2</v>
      </c>
      <c r="B3" s="11"/>
      <c r="C3" s="581"/>
      <c r="D3" s="581"/>
      <c r="E3" s="581"/>
      <c r="F3" s="581"/>
      <c r="G3" s="581"/>
      <c r="H3" s="581"/>
      <c r="I3" s="581"/>
      <c r="J3" s="581"/>
      <c r="K3" s="581"/>
      <c r="L3" s="581"/>
      <c r="M3" s="582"/>
      <c r="N3" s="577"/>
      <c r="O3" s="577"/>
      <c r="P3" s="577"/>
      <c r="Q3" s="577"/>
      <c r="R3" s="577"/>
      <c r="S3" s="577"/>
      <c r="T3" s="577"/>
      <c r="U3" s="577">
        <f t="shared" ref="U3:U6" si="0">V22</f>
        <v>2014</v>
      </c>
      <c r="V3" s="623">
        <f>I8*C8</f>
        <v>1275000</v>
      </c>
      <c r="W3" s="623">
        <f>(D8-C8)*J8</f>
        <v>179200</v>
      </c>
      <c r="X3" s="623">
        <f>(E8-D8)*K8</f>
        <v>108000</v>
      </c>
      <c r="Y3" s="623">
        <f>(F8-E8)*L8</f>
        <v>150000</v>
      </c>
      <c r="Z3" s="577"/>
      <c r="AA3" s="577"/>
      <c r="AB3" s="577"/>
      <c r="AC3" s="577"/>
      <c r="AD3" s="577"/>
      <c r="AE3" s="577"/>
      <c r="AF3" s="577"/>
      <c r="AG3" s="577"/>
      <c r="AH3" s="577"/>
      <c r="AI3" s="577"/>
      <c r="AJ3" s="577"/>
      <c r="AK3" s="577"/>
      <c r="AL3" s="577"/>
      <c r="AM3" s="577"/>
      <c r="AN3" s="577"/>
      <c r="AO3" s="577"/>
      <c r="AP3" s="577"/>
      <c r="AQ3" s="577"/>
      <c r="AR3" s="577"/>
      <c r="AS3" s="577"/>
      <c r="AT3" s="577"/>
      <c r="AU3" s="577"/>
      <c r="AV3" s="577"/>
      <c r="AW3" s="577"/>
      <c r="AX3" s="577"/>
      <c r="AY3" s="577"/>
      <c r="AZ3" s="577"/>
    </row>
    <row r="4" spans="1:52" ht="15.75" customHeight="1" x14ac:dyDescent="0.2">
      <c r="A4" s="584"/>
      <c r="B4" s="581" t="s">
        <v>568</v>
      </c>
      <c r="C4" s="581"/>
      <c r="D4" s="581"/>
      <c r="E4" s="581"/>
      <c r="F4" s="581"/>
      <c r="G4" s="581"/>
      <c r="H4" s="581"/>
      <c r="I4" s="581"/>
      <c r="J4" s="581"/>
      <c r="K4" s="581"/>
      <c r="L4" s="581"/>
      <c r="M4" s="582"/>
      <c r="N4" s="577"/>
      <c r="O4" s="577"/>
      <c r="P4" s="577"/>
      <c r="Q4" s="577"/>
      <c r="R4" s="577"/>
      <c r="S4" s="577"/>
      <c r="T4" s="577"/>
      <c r="U4" s="577">
        <f t="shared" si="0"/>
        <v>2015</v>
      </c>
      <c r="V4" s="623">
        <f t="shared" ref="V4:V6" si="1">I9*C9</f>
        <v>1268750</v>
      </c>
      <c r="W4" s="623">
        <f>(D9-C9)*J9</f>
        <v>143000</v>
      </c>
      <c r="X4" s="623">
        <f t="shared" ref="W4:X5" si="2">(E9-D9)*K9</f>
        <v>148000</v>
      </c>
      <c r="Y4" s="577"/>
      <c r="Z4" s="577"/>
      <c r="AA4" s="577"/>
      <c r="AB4" s="577"/>
      <c r="AC4" s="577"/>
      <c r="AD4" s="577"/>
      <c r="AE4" s="577"/>
      <c r="AF4" s="577"/>
      <c r="AG4" s="577"/>
      <c r="AH4" s="577"/>
      <c r="AI4" s="577"/>
      <c r="AJ4" s="577"/>
      <c r="AK4" s="577"/>
      <c r="AL4" s="577"/>
      <c r="AM4" s="577"/>
      <c r="AN4" s="577"/>
      <c r="AO4" s="577"/>
      <c r="AP4" s="577"/>
      <c r="AQ4" s="577"/>
      <c r="AR4" s="577"/>
      <c r="AS4" s="577"/>
      <c r="AT4" s="577"/>
      <c r="AU4" s="577"/>
      <c r="AV4" s="577"/>
      <c r="AW4" s="577"/>
      <c r="AX4" s="577"/>
      <c r="AY4" s="577"/>
      <c r="AZ4" s="577"/>
    </row>
    <row r="5" spans="1:52" ht="15.75" customHeight="1" thickBot="1" x14ac:dyDescent="0.25">
      <c r="A5" s="584"/>
      <c r="B5" s="581"/>
      <c r="C5" s="581"/>
      <c r="D5" s="581"/>
      <c r="E5" s="581"/>
      <c r="F5" s="581"/>
      <c r="G5" s="581"/>
      <c r="H5" s="581"/>
      <c r="I5" s="581"/>
      <c r="J5" s="581"/>
      <c r="K5" s="581"/>
      <c r="L5" s="581"/>
      <c r="M5" s="582"/>
      <c r="N5" s="577"/>
      <c r="O5" s="577"/>
      <c r="P5" s="577"/>
      <c r="Q5" s="577"/>
      <c r="R5" s="577"/>
      <c r="S5" s="577"/>
      <c r="T5" s="577"/>
      <c r="U5" s="577">
        <f t="shared" si="0"/>
        <v>2016</v>
      </c>
      <c r="V5" s="623">
        <f t="shared" si="1"/>
        <v>1370600</v>
      </c>
      <c r="W5" s="623">
        <f t="shared" si="2"/>
        <v>161400</v>
      </c>
      <c r="X5" s="577"/>
      <c r="Y5" s="577"/>
      <c r="Z5" s="577"/>
      <c r="AA5" s="577"/>
      <c r="AB5" s="577"/>
      <c r="AC5" s="577"/>
      <c r="AD5" s="577"/>
      <c r="AE5" s="577"/>
      <c r="AF5" s="577"/>
      <c r="AG5" s="577"/>
      <c r="AH5" s="577"/>
      <c r="AI5" s="577"/>
      <c r="AJ5" s="577"/>
      <c r="AK5" s="577"/>
      <c r="AL5" s="577"/>
      <c r="AM5" s="577"/>
      <c r="AN5" s="577"/>
      <c r="AO5" s="577"/>
      <c r="AP5" s="577"/>
      <c r="AQ5" s="577"/>
      <c r="AR5" s="577"/>
      <c r="AS5" s="577"/>
      <c r="AT5" s="577"/>
      <c r="AU5" s="577"/>
      <c r="AV5" s="577"/>
      <c r="AW5" s="577"/>
      <c r="AX5" s="577"/>
      <c r="AY5" s="577"/>
      <c r="AZ5" s="577"/>
    </row>
    <row r="6" spans="1:52" ht="15.75" customHeight="1" x14ac:dyDescent="0.2">
      <c r="A6" s="584"/>
      <c r="B6" s="585" t="s">
        <v>135</v>
      </c>
      <c r="C6" s="586" t="s">
        <v>569</v>
      </c>
      <c r="D6" s="587"/>
      <c r="E6" s="587"/>
      <c r="F6" s="588"/>
      <c r="G6" s="581"/>
      <c r="H6" s="585" t="s">
        <v>135</v>
      </c>
      <c r="I6" s="586" t="s">
        <v>570</v>
      </c>
      <c r="J6" s="587"/>
      <c r="K6" s="587"/>
      <c r="L6" s="588"/>
      <c r="M6" s="582"/>
      <c r="N6" s="577"/>
      <c r="O6" s="577"/>
      <c r="P6" s="577"/>
      <c r="Q6" s="577"/>
      <c r="R6" s="577"/>
      <c r="S6" s="577"/>
      <c r="T6" s="577"/>
      <c r="U6" s="577">
        <f t="shared" si="0"/>
        <v>2017</v>
      </c>
      <c r="V6" s="623">
        <f t="shared" si="1"/>
        <v>1470750</v>
      </c>
      <c r="W6" s="577"/>
      <c r="X6" s="577"/>
      <c r="Y6" s="577"/>
      <c r="Z6" s="577"/>
      <c r="AA6" s="577"/>
      <c r="AB6" s="577"/>
      <c r="AC6" s="577"/>
      <c r="AD6" s="577"/>
      <c r="AE6" s="577"/>
      <c r="AF6" s="577"/>
      <c r="AG6" s="577"/>
      <c r="AH6" s="577"/>
      <c r="AI6" s="577"/>
      <c r="AJ6" s="577"/>
      <c r="AK6" s="577"/>
      <c r="AL6" s="577"/>
      <c r="AM6" s="577"/>
      <c r="AN6" s="577"/>
      <c r="AO6" s="577"/>
      <c r="AP6" s="577"/>
      <c r="AQ6" s="577"/>
      <c r="AR6" s="577"/>
      <c r="AS6" s="577"/>
      <c r="AT6" s="577"/>
      <c r="AU6" s="577"/>
      <c r="AV6" s="577"/>
      <c r="AW6" s="577"/>
      <c r="AX6" s="577"/>
      <c r="AY6" s="577"/>
      <c r="AZ6" s="577"/>
    </row>
    <row r="7" spans="1:52" ht="15.75" customHeight="1" thickBot="1" x14ac:dyDescent="0.25">
      <c r="A7" s="584"/>
      <c r="B7" s="589" t="s">
        <v>83</v>
      </c>
      <c r="C7" s="526">
        <v>12</v>
      </c>
      <c r="D7" s="526">
        <v>24</v>
      </c>
      <c r="E7" s="526">
        <v>36</v>
      </c>
      <c r="F7" s="23">
        <v>48</v>
      </c>
      <c r="G7" s="581"/>
      <c r="H7" s="589" t="s">
        <v>83</v>
      </c>
      <c r="I7" s="526">
        <v>12</v>
      </c>
      <c r="J7" s="526">
        <v>24</v>
      </c>
      <c r="K7" s="526">
        <v>36</v>
      </c>
      <c r="L7" s="23">
        <v>48</v>
      </c>
      <c r="M7" s="582"/>
      <c r="N7" s="577"/>
      <c r="O7" s="577"/>
      <c r="P7" s="577"/>
      <c r="Q7" s="577"/>
      <c r="R7" s="577"/>
      <c r="S7" s="577"/>
      <c r="T7" s="577"/>
      <c r="U7" s="577"/>
      <c r="V7" s="577"/>
      <c r="W7" s="577"/>
      <c r="X7" s="577"/>
      <c r="Y7" s="577"/>
      <c r="Z7" s="577"/>
      <c r="AA7" s="577"/>
      <c r="AB7" s="577"/>
      <c r="AC7" s="577"/>
      <c r="AD7" s="577"/>
      <c r="AE7" s="577"/>
      <c r="AF7" s="577"/>
      <c r="AG7" s="577"/>
      <c r="AH7" s="577"/>
      <c r="AI7" s="577"/>
      <c r="AJ7" s="577"/>
      <c r="AK7" s="577"/>
      <c r="AL7" s="577"/>
      <c r="AM7" s="577"/>
      <c r="AN7" s="577"/>
      <c r="AO7" s="577"/>
      <c r="AP7" s="577"/>
      <c r="AQ7" s="577"/>
      <c r="AR7" s="577"/>
      <c r="AS7" s="577"/>
      <c r="AT7" s="577"/>
      <c r="AU7" s="577"/>
      <c r="AV7" s="577"/>
      <c r="AW7" s="577"/>
      <c r="AX7" s="577"/>
      <c r="AY7" s="577"/>
      <c r="AZ7" s="577"/>
    </row>
    <row r="8" spans="1:52" ht="15.75" customHeight="1" x14ac:dyDescent="0.2">
      <c r="A8" s="584"/>
      <c r="B8" s="590">
        <v>2014</v>
      </c>
      <c r="C8" s="591">
        <v>170</v>
      </c>
      <c r="D8" s="524">
        <v>184</v>
      </c>
      <c r="E8" s="524">
        <v>190</v>
      </c>
      <c r="F8" s="525">
        <v>196</v>
      </c>
      <c r="G8" s="581"/>
      <c r="H8" s="590">
        <v>2014</v>
      </c>
      <c r="I8" s="592">
        <v>7500</v>
      </c>
      <c r="J8" s="593">
        <v>12800</v>
      </c>
      <c r="K8" s="593">
        <v>18000</v>
      </c>
      <c r="L8" s="594">
        <v>25000</v>
      </c>
      <c r="M8" s="582"/>
      <c r="N8" s="577"/>
      <c r="O8" s="577"/>
      <c r="P8" s="577"/>
      <c r="Q8" s="577"/>
      <c r="R8" s="577"/>
      <c r="S8" s="577"/>
      <c r="T8" s="577"/>
      <c r="U8" s="577" t="str">
        <f>U2</f>
        <v>ay</v>
      </c>
      <c r="V8" s="577" t="s">
        <v>594</v>
      </c>
      <c r="W8" s="577"/>
      <c r="X8" s="577"/>
      <c r="Y8" s="577"/>
      <c r="Z8" s="577"/>
      <c r="AA8" s="577"/>
      <c r="AB8" s="577"/>
      <c r="AC8" s="577"/>
      <c r="AD8" s="577"/>
      <c r="AE8" s="577"/>
      <c r="AF8" s="577"/>
      <c r="AG8" s="577"/>
      <c r="AH8" s="577"/>
      <c r="AI8" s="577"/>
      <c r="AJ8" s="577"/>
      <c r="AK8" s="577"/>
      <c r="AL8" s="577"/>
      <c r="AM8" s="577"/>
      <c r="AN8" s="577"/>
      <c r="AO8" s="577"/>
      <c r="AP8" s="577"/>
      <c r="AQ8" s="577"/>
      <c r="AR8" s="577"/>
      <c r="AS8" s="577"/>
      <c r="AT8" s="577"/>
      <c r="AU8" s="577"/>
      <c r="AV8" s="577"/>
      <c r="AW8" s="577"/>
      <c r="AX8" s="577"/>
      <c r="AY8" s="577"/>
      <c r="AZ8" s="577"/>
    </row>
    <row r="9" spans="1:52" ht="15.75" customHeight="1" x14ac:dyDescent="0.2">
      <c r="A9" s="584"/>
      <c r="B9" s="595">
        <v>2015</v>
      </c>
      <c r="C9" s="596">
        <v>175</v>
      </c>
      <c r="D9" s="597">
        <v>186</v>
      </c>
      <c r="E9" s="597">
        <v>194</v>
      </c>
      <c r="F9" s="19"/>
      <c r="G9" s="581"/>
      <c r="H9" s="595">
        <v>2015</v>
      </c>
      <c r="I9" s="598">
        <v>7250</v>
      </c>
      <c r="J9" s="599">
        <v>13000</v>
      </c>
      <c r="K9" s="599">
        <v>18500</v>
      </c>
      <c r="L9" s="600"/>
      <c r="M9" s="582"/>
      <c r="N9" s="577"/>
      <c r="O9" s="577"/>
      <c r="P9" s="577"/>
      <c r="Q9" s="577"/>
      <c r="R9" s="577"/>
      <c r="S9" s="577"/>
      <c r="T9" s="577"/>
      <c r="U9" s="577">
        <f t="shared" ref="U9:V12" si="3">U3</f>
        <v>2014</v>
      </c>
      <c r="V9" s="623">
        <f>V3</f>
        <v>1275000</v>
      </c>
      <c r="W9" s="623">
        <f>W3+V9</f>
        <v>1454200</v>
      </c>
      <c r="X9" s="623">
        <f t="shared" ref="X9:Y9" si="4">X3+W9</f>
        <v>1562200</v>
      </c>
      <c r="Y9" s="623">
        <f t="shared" si="4"/>
        <v>1712200</v>
      </c>
      <c r="Z9" s="577"/>
      <c r="AA9" s="577"/>
      <c r="AB9" s="577"/>
      <c r="AC9" s="577"/>
      <c r="AD9" s="577"/>
      <c r="AE9" s="577"/>
      <c r="AF9" s="577"/>
      <c r="AG9" s="577"/>
      <c r="AH9" s="577"/>
      <c r="AI9" s="577"/>
      <c r="AJ9" s="577"/>
      <c r="AK9" s="577"/>
      <c r="AL9" s="577"/>
      <c r="AM9" s="577"/>
      <c r="AN9" s="577"/>
      <c r="AO9" s="577"/>
      <c r="AP9" s="577"/>
      <c r="AQ9" s="577"/>
      <c r="AR9" s="577"/>
      <c r="AS9" s="577"/>
      <c r="AT9" s="577"/>
      <c r="AU9" s="577"/>
      <c r="AV9" s="577"/>
      <c r="AW9" s="577"/>
      <c r="AX9" s="577"/>
      <c r="AY9" s="577"/>
      <c r="AZ9" s="577"/>
    </row>
    <row r="10" spans="1:52" ht="15.75" customHeight="1" x14ac:dyDescent="0.2">
      <c r="A10" s="584"/>
      <c r="B10" s="595">
        <v>2016</v>
      </c>
      <c r="C10" s="596">
        <v>178</v>
      </c>
      <c r="D10" s="597">
        <v>190</v>
      </c>
      <c r="E10" s="597"/>
      <c r="F10" s="19"/>
      <c r="G10" s="581"/>
      <c r="H10" s="595">
        <v>2016</v>
      </c>
      <c r="I10" s="598">
        <v>7700</v>
      </c>
      <c r="J10" s="599">
        <v>13450</v>
      </c>
      <c r="K10" s="599"/>
      <c r="L10" s="600"/>
      <c r="M10" s="582"/>
      <c r="N10" s="577"/>
      <c r="O10" s="577"/>
      <c r="P10" s="577"/>
      <c r="Q10" s="577"/>
      <c r="R10" s="577"/>
      <c r="S10" s="577"/>
      <c r="T10" s="577"/>
      <c r="U10" s="577">
        <f t="shared" si="3"/>
        <v>2015</v>
      </c>
      <c r="V10" s="623">
        <f t="shared" si="3"/>
        <v>1268750</v>
      </c>
      <c r="W10" s="623">
        <f t="shared" ref="W10:X11" si="5">W4+V10</f>
        <v>1411750</v>
      </c>
      <c r="X10" s="623">
        <f t="shared" si="5"/>
        <v>1559750</v>
      </c>
      <c r="Y10" s="577"/>
      <c r="Z10" s="577"/>
      <c r="AA10" s="577"/>
      <c r="AB10" s="577"/>
      <c r="AC10" s="577"/>
      <c r="AD10" s="577"/>
      <c r="AE10" s="577"/>
      <c r="AF10" s="577"/>
      <c r="AG10" s="577"/>
      <c r="AH10" s="577"/>
      <c r="AI10" s="577"/>
      <c r="AJ10" s="577"/>
      <c r="AK10" s="577"/>
      <c r="AL10" s="577"/>
      <c r="AM10" s="577"/>
      <c r="AN10" s="577"/>
      <c r="AO10" s="577"/>
      <c r="AP10" s="577"/>
      <c r="AQ10" s="577"/>
      <c r="AR10" s="577"/>
      <c r="AS10" s="577"/>
      <c r="AT10" s="577"/>
      <c r="AU10" s="577"/>
      <c r="AV10" s="577"/>
      <c r="AW10" s="577"/>
      <c r="AX10" s="577"/>
      <c r="AY10" s="577"/>
      <c r="AZ10" s="577"/>
    </row>
    <row r="11" spans="1:52" ht="15.75" customHeight="1" thickBot="1" x14ac:dyDescent="0.25">
      <c r="A11" s="584"/>
      <c r="B11" s="601">
        <v>2017</v>
      </c>
      <c r="C11" s="602">
        <v>185</v>
      </c>
      <c r="D11" s="526"/>
      <c r="E11" s="526"/>
      <c r="F11" s="23"/>
      <c r="G11" s="581"/>
      <c r="H11" s="601">
        <v>2017</v>
      </c>
      <c r="I11" s="603">
        <v>7950</v>
      </c>
      <c r="J11" s="604"/>
      <c r="K11" s="604"/>
      <c r="L11" s="605"/>
      <c r="M11" s="582"/>
      <c r="N11" s="577"/>
      <c r="O11" s="577"/>
      <c r="P11" s="577"/>
      <c r="Q11" s="577"/>
      <c r="R11" s="577"/>
      <c r="S11" s="577"/>
      <c r="T11" s="577"/>
      <c r="U11" s="577">
        <f t="shared" si="3"/>
        <v>2016</v>
      </c>
      <c r="V11" s="623">
        <f t="shared" si="3"/>
        <v>1370600</v>
      </c>
      <c r="W11" s="623">
        <f t="shared" si="5"/>
        <v>1532000</v>
      </c>
      <c r="X11" s="577"/>
      <c r="Y11" s="577"/>
      <c r="Z11" s="577"/>
      <c r="AA11" s="577"/>
      <c r="AB11" s="577"/>
      <c r="AC11" s="577"/>
      <c r="AD11" s="577"/>
      <c r="AE11" s="577"/>
      <c r="AF11" s="577"/>
      <c r="AG11" s="577"/>
      <c r="AH11" s="577"/>
      <c r="AI11" s="577"/>
      <c r="AJ11" s="577"/>
      <c r="AK11" s="577"/>
      <c r="AL11" s="577"/>
      <c r="AM11" s="577"/>
      <c r="AN11" s="577"/>
      <c r="AO11" s="577"/>
      <c r="AP11" s="577"/>
      <c r="AQ11" s="577"/>
      <c r="AR11" s="577"/>
      <c r="AS11" s="577"/>
      <c r="AT11" s="577"/>
      <c r="AU11" s="577"/>
      <c r="AV11" s="577"/>
      <c r="AW11" s="577"/>
      <c r="AX11" s="577"/>
      <c r="AY11" s="577"/>
      <c r="AZ11" s="577"/>
    </row>
    <row r="12" spans="1:52" ht="15.75" customHeight="1" thickBot="1" x14ac:dyDescent="0.25">
      <c r="A12" s="584"/>
      <c r="B12" s="581"/>
      <c r="C12" s="581"/>
      <c r="D12" s="581"/>
      <c r="E12" s="581"/>
      <c r="F12" s="581"/>
      <c r="G12" s="581"/>
      <c r="H12" s="581"/>
      <c r="I12" s="581"/>
      <c r="J12" s="581"/>
      <c r="K12" s="581"/>
      <c r="L12" s="581"/>
      <c r="M12" s="582"/>
      <c r="N12" s="577"/>
      <c r="O12" s="577"/>
      <c r="P12" s="577"/>
      <c r="Q12" s="577"/>
      <c r="R12" s="577"/>
      <c r="S12" s="577"/>
      <c r="T12" s="577"/>
      <c r="U12" s="577">
        <f t="shared" si="3"/>
        <v>2017</v>
      </c>
      <c r="V12" s="623">
        <f t="shared" si="3"/>
        <v>1470750</v>
      </c>
      <c r="W12" s="577"/>
      <c r="X12" s="577"/>
      <c r="Y12" s="577"/>
      <c r="Z12" s="577"/>
      <c r="AA12" s="577"/>
      <c r="AB12" s="577"/>
      <c r="AC12" s="577"/>
      <c r="AD12" s="577"/>
      <c r="AE12" s="577"/>
      <c r="AF12" s="577"/>
      <c r="AG12" s="577"/>
      <c r="AH12" s="577"/>
      <c r="AI12" s="577"/>
      <c r="AJ12" s="577"/>
      <c r="AK12" s="577"/>
      <c r="AL12" s="577"/>
      <c r="AM12" s="577"/>
      <c r="AN12" s="577"/>
      <c r="AO12" s="577"/>
      <c r="AP12" s="577"/>
      <c r="AQ12" s="577"/>
      <c r="AR12" s="577"/>
      <c r="AS12" s="577"/>
      <c r="AT12" s="577"/>
      <c r="AU12" s="577"/>
      <c r="AV12" s="577"/>
      <c r="AW12" s="577"/>
      <c r="AX12" s="577"/>
      <c r="AY12" s="577"/>
      <c r="AZ12" s="577"/>
    </row>
    <row r="13" spans="1:52" ht="15.75" customHeight="1" x14ac:dyDescent="0.2">
      <c r="A13" s="584"/>
      <c r="B13" s="606" t="s">
        <v>135</v>
      </c>
      <c r="C13" s="607" t="s">
        <v>571</v>
      </c>
      <c r="D13" s="581"/>
      <c r="E13" s="581"/>
      <c r="F13" s="581"/>
      <c r="G13" s="581"/>
      <c r="H13" s="581"/>
      <c r="I13" s="581"/>
      <c r="J13" s="581"/>
      <c r="K13" s="581"/>
      <c r="L13" s="581"/>
      <c r="M13" s="582"/>
      <c r="N13" s="577"/>
      <c r="O13" s="577"/>
      <c r="P13" s="577"/>
      <c r="Q13" s="577"/>
      <c r="R13" s="577"/>
      <c r="S13" s="577"/>
      <c r="T13" s="577"/>
      <c r="U13" s="577"/>
      <c r="V13" s="577"/>
      <c r="W13" s="577"/>
      <c r="X13" s="577"/>
      <c r="Y13" s="577"/>
      <c r="Z13" s="577"/>
      <c r="AA13" s="577"/>
      <c r="AB13" s="577"/>
      <c r="AC13" s="577"/>
      <c r="AD13" s="577"/>
      <c r="AE13" s="577"/>
      <c r="AF13" s="577"/>
      <c r="AG13" s="577"/>
      <c r="AH13" s="577"/>
      <c r="AI13" s="577"/>
      <c r="AJ13" s="577"/>
      <c r="AK13" s="577"/>
      <c r="AL13" s="577"/>
      <c r="AM13" s="577"/>
      <c r="AN13" s="577"/>
      <c r="AO13" s="577"/>
      <c r="AP13" s="577"/>
      <c r="AQ13" s="577"/>
      <c r="AR13" s="577"/>
      <c r="AS13" s="577"/>
      <c r="AT13" s="577"/>
      <c r="AU13" s="577"/>
      <c r="AV13" s="577"/>
      <c r="AW13" s="577"/>
      <c r="AX13" s="577"/>
      <c r="AY13" s="577"/>
      <c r="AZ13" s="577"/>
    </row>
    <row r="14" spans="1:52" ht="15.75" customHeight="1" thickBot="1" x14ac:dyDescent="0.25">
      <c r="A14" s="584"/>
      <c r="B14" s="608" t="s">
        <v>83</v>
      </c>
      <c r="C14" s="609" t="s">
        <v>572</v>
      </c>
      <c r="D14" s="581"/>
      <c r="E14" s="581"/>
      <c r="F14" s="581"/>
      <c r="G14" s="581"/>
      <c r="H14" s="581"/>
      <c r="I14" s="581"/>
      <c r="J14" s="581"/>
      <c r="K14" s="581"/>
      <c r="L14" s="581"/>
      <c r="M14" s="582"/>
      <c r="N14" s="577"/>
      <c r="O14" s="577"/>
      <c r="P14" s="577"/>
      <c r="Q14" s="577"/>
      <c r="R14" s="577"/>
      <c r="S14" s="577"/>
      <c r="T14" s="577"/>
      <c r="U14" s="577" t="str">
        <f>U8</f>
        <v>ay</v>
      </c>
      <c r="V14" s="577" t="s">
        <v>595</v>
      </c>
      <c r="W14" s="577"/>
      <c r="X14" s="577"/>
      <c r="Y14" s="577"/>
      <c r="Z14" s="577"/>
      <c r="AA14" s="577"/>
      <c r="AB14" s="577"/>
      <c r="AC14" s="577"/>
      <c r="AD14" s="577"/>
      <c r="AE14" s="577"/>
      <c r="AF14" s="577"/>
      <c r="AG14" s="577"/>
      <c r="AH14" s="577"/>
      <c r="AI14" s="577"/>
      <c r="AJ14" s="577"/>
      <c r="AK14" s="577"/>
      <c r="AL14" s="577"/>
      <c r="AM14" s="577"/>
      <c r="AN14" s="577"/>
      <c r="AO14" s="577"/>
      <c r="AP14" s="577"/>
      <c r="AQ14" s="577"/>
      <c r="AR14" s="577"/>
      <c r="AS14" s="577"/>
      <c r="AT14" s="577"/>
      <c r="AU14" s="577"/>
      <c r="AV14" s="577"/>
      <c r="AW14" s="577"/>
      <c r="AX14" s="577"/>
      <c r="AY14" s="577"/>
      <c r="AZ14" s="577"/>
    </row>
    <row r="15" spans="1:52" ht="15.75" customHeight="1" x14ac:dyDescent="0.2">
      <c r="A15" s="584"/>
      <c r="B15" s="590">
        <v>2014</v>
      </c>
      <c r="C15" s="610">
        <v>196</v>
      </c>
      <c r="D15" s="581"/>
      <c r="E15" s="581"/>
      <c r="F15" s="581"/>
      <c r="G15" s="581"/>
      <c r="H15" s="581"/>
      <c r="I15" s="581"/>
      <c r="J15" s="581"/>
      <c r="K15" s="581"/>
      <c r="L15" s="581"/>
      <c r="M15" s="582"/>
      <c r="N15" s="577"/>
      <c r="O15" s="577"/>
      <c r="P15" s="577"/>
      <c r="Q15" s="577"/>
      <c r="R15" s="577"/>
      <c r="S15" s="577"/>
      <c r="T15" s="577"/>
      <c r="U15" s="577">
        <f t="shared" ref="U15:U18" si="6">U9</f>
        <v>2014</v>
      </c>
      <c r="V15" s="623">
        <f>V9/C8</f>
        <v>7500</v>
      </c>
      <c r="W15" s="623">
        <f t="shared" ref="W15:Y17" si="7">W9/D8</f>
        <v>7903.260869565217</v>
      </c>
      <c r="X15" s="623">
        <f t="shared" si="7"/>
        <v>8222.105263157895</v>
      </c>
      <c r="Y15" s="623">
        <f t="shared" si="7"/>
        <v>8735.7142857142862</v>
      </c>
      <c r="Z15" s="577"/>
      <c r="AA15" s="577"/>
      <c r="AB15" s="577"/>
      <c r="AC15" s="577"/>
      <c r="AD15" s="577"/>
      <c r="AE15" s="577"/>
      <c r="AF15" s="577"/>
      <c r="AG15" s="577"/>
      <c r="AH15" s="577"/>
      <c r="AI15" s="577"/>
      <c r="AJ15" s="577"/>
      <c r="AK15" s="577"/>
      <c r="AL15" s="577"/>
      <c r="AM15" s="577"/>
      <c r="AN15" s="577"/>
      <c r="AO15" s="577"/>
      <c r="AP15" s="577"/>
      <c r="AQ15" s="577"/>
      <c r="AR15" s="577"/>
      <c r="AS15" s="577"/>
      <c r="AT15" s="577"/>
      <c r="AU15" s="577"/>
      <c r="AV15" s="577"/>
      <c r="AW15" s="577"/>
      <c r="AX15" s="577"/>
      <c r="AY15" s="577"/>
      <c r="AZ15" s="577"/>
    </row>
    <row r="16" spans="1:52" ht="15.75" customHeight="1" x14ac:dyDescent="0.2">
      <c r="A16" s="584"/>
      <c r="B16" s="595">
        <v>2015</v>
      </c>
      <c r="C16" s="611">
        <v>195</v>
      </c>
      <c r="D16" s="581"/>
      <c r="E16" s="581"/>
      <c r="F16" s="581"/>
      <c r="G16" s="581"/>
      <c r="H16" s="581"/>
      <c r="I16" s="581"/>
      <c r="J16" s="581"/>
      <c r="K16" s="581"/>
      <c r="L16" s="581"/>
      <c r="M16" s="582"/>
      <c r="N16" s="577"/>
      <c r="O16" s="577"/>
      <c r="P16" s="577"/>
      <c r="Q16" s="577"/>
      <c r="R16" s="577"/>
      <c r="S16" s="577"/>
      <c r="T16" s="577"/>
      <c r="U16" s="577">
        <f t="shared" si="6"/>
        <v>2015</v>
      </c>
      <c r="V16" s="623">
        <f t="shared" ref="V16:V18" si="8">V10/C9</f>
        <v>7250</v>
      </c>
      <c r="W16" s="623">
        <f t="shared" si="7"/>
        <v>7590.0537634408602</v>
      </c>
      <c r="X16" s="623">
        <f t="shared" si="7"/>
        <v>8039.9484536082473</v>
      </c>
      <c r="Y16" s="623"/>
      <c r="Z16" s="577"/>
      <c r="AA16" s="577"/>
      <c r="AB16" s="577"/>
      <c r="AC16" s="577"/>
      <c r="AD16" s="577"/>
      <c r="AE16" s="577"/>
      <c r="AF16" s="577"/>
      <c r="AG16" s="577"/>
      <c r="AH16" s="577"/>
      <c r="AI16" s="577"/>
      <c r="AJ16" s="577"/>
      <c r="AK16" s="577"/>
      <c r="AL16" s="577"/>
      <c r="AM16" s="577"/>
      <c r="AN16" s="577"/>
      <c r="AO16" s="577"/>
      <c r="AP16" s="577"/>
      <c r="AQ16" s="577"/>
      <c r="AR16" s="577"/>
      <c r="AS16" s="577"/>
      <c r="AT16" s="577"/>
      <c r="AU16" s="577"/>
      <c r="AV16" s="577"/>
      <c r="AW16" s="577"/>
      <c r="AX16" s="577"/>
      <c r="AY16" s="577"/>
      <c r="AZ16" s="577"/>
    </row>
    <row r="17" spans="1:52" ht="15.75" customHeight="1" x14ac:dyDescent="0.2">
      <c r="A17" s="584"/>
      <c r="B17" s="595">
        <v>2016</v>
      </c>
      <c r="C17" s="611">
        <v>198</v>
      </c>
      <c r="D17" s="581"/>
      <c r="E17" s="581"/>
      <c r="F17" s="581"/>
      <c r="G17" s="581"/>
      <c r="H17" s="581"/>
      <c r="I17" s="581"/>
      <c r="J17" s="581"/>
      <c r="K17" s="581"/>
      <c r="L17" s="581"/>
      <c r="M17" s="582"/>
      <c r="N17" s="577"/>
      <c r="O17" s="577"/>
      <c r="P17" s="577"/>
      <c r="Q17" s="577"/>
      <c r="R17" s="577"/>
      <c r="S17" s="577"/>
      <c r="T17" s="577"/>
      <c r="U17" s="577">
        <f t="shared" si="6"/>
        <v>2016</v>
      </c>
      <c r="V17" s="623">
        <f t="shared" si="8"/>
        <v>7700</v>
      </c>
      <c r="W17" s="623">
        <f t="shared" si="7"/>
        <v>8063.1578947368425</v>
      </c>
      <c r="X17" s="623"/>
      <c r="Y17" s="623"/>
      <c r="Z17" s="577"/>
      <c r="AA17" s="577"/>
      <c r="AB17" s="577"/>
      <c r="AC17" s="577"/>
      <c r="AD17" s="577"/>
      <c r="AE17" s="577"/>
      <c r="AF17" s="577"/>
      <c r="AG17" s="577"/>
      <c r="AH17" s="577"/>
      <c r="AI17" s="577"/>
      <c r="AJ17" s="577"/>
      <c r="AK17" s="577"/>
      <c r="AL17" s="577"/>
      <c r="AM17" s="577"/>
      <c r="AN17" s="577"/>
      <c r="AO17" s="577"/>
      <c r="AP17" s="577"/>
      <c r="AQ17" s="577"/>
      <c r="AR17" s="577"/>
      <c r="AS17" s="577"/>
      <c r="AT17" s="577"/>
      <c r="AU17" s="577"/>
      <c r="AV17" s="577"/>
      <c r="AW17" s="577"/>
      <c r="AX17" s="577"/>
      <c r="AY17" s="577"/>
      <c r="AZ17" s="577"/>
    </row>
    <row r="18" spans="1:52" ht="15.75" customHeight="1" thickBot="1" x14ac:dyDescent="0.25">
      <c r="A18" s="584"/>
      <c r="B18" s="601">
        <v>2017</v>
      </c>
      <c r="C18" s="612">
        <v>200</v>
      </c>
      <c r="D18" s="581"/>
      <c r="E18" s="581"/>
      <c r="F18" s="581"/>
      <c r="G18" s="581"/>
      <c r="H18" s="581"/>
      <c r="I18" s="581"/>
      <c r="J18" s="581"/>
      <c r="K18" s="581"/>
      <c r="L18" s="581"/>
      <c r="M18" s="582"/>
      <c r="N18" s="577"/>
      <c r="O18" s="577"/>
      <c r="P18" s="577"/>
      <c r="Q18" s="577"/>
      <c r="R18" s="577"/>
      <c r="S18" s="577"/>
      <c r="T18" s="577"/>
      <c r="U18" s="577">
        <f t="shared" si="6"/>
        <v>2017</v>
      </c>
      <c r="V18" s="623">
        <f t="shared" si="8"/>
        <v>7950</v>
      </c>
      <c r="W18" s="577"/>
      <c r="X18" s="577"/>
      <c r="Y18" s="577"/>
      <c r="Z18" s="577"/>
      <c r="AA18" s="577"/>
      <c r="AB18" s="577"/>
      <c r="AC18" s="577"/>
      <c r="AD18" s="577"/>
      <c r="AE18" s="577"/>
      <c r="AF18" s="577"/>
      <c r="AG18" s="577"/>
      <c r="AH18" s="577"/>
      <c r="AI18" s="577"/>
      <c r="AJ18" s="577"/>
      <c r="AK18" s="577"/>
      <c r="AL18" s="577"/>
      <c r="AM18" s="577"/>
      <c r="AN18" s="577"/>
      <c r="AO18" s="577"/>
      <c r="AP18" s="577"/>
      <c r="AQ18" s="577"/>
      <c r="AR18" s="577"/>
      <c r="AS18" s="577"/>
      <c r="AT18" s="577"/>
      <c r="AU18" s="577"/>
      <c r="AV18" s="577"/>
      <c r="AW18" s="577"/>
      <c r="AX18" s="577"/>
      <c r="AY18" s="577"/>
      <c r="AZ18" s="577"/>
    </row>
    <row r="19" spans="1:52" ht="15.75" customHeight="1" thickBot="1" x14ac:dyDescent="0.25">
      <c r="A19" s="584"/>
      <c r="B19" s="581"/>
      <c r="C19" s="581"/>
      <c r="D19" s="581"/>
      <c r="E19" s="581"/>
      <c r="F19" s="581"/>
      <c r="G19" s="581"/>
      <c r="H19" s="581"/>
      <c r="I19" s="581"/>
      <c r="J19" s="581"/>
      <c r="K19" s="581"/>
      <c r="L19" s="581"/>
      <c r="M19" s="582"/>
      <c r="N19" s="577"/>
      <c r="O19" s="577"/>
      <c r="P19" s="577"/>
      <c r="Q19" s="577"/>
      <c r="R19" s="577"/>
      <c r="S19" s="577"/>
      <c r="T19" s="577"/>
      <c r="U19" s="577"/>
      <c r="V19" s="577"/>
      <c r="W19" s="577"/>
      <c r="X19" s="577"/>
      <c r="Y19" s="577"/>
      <c r="Z19" s="577"/>
      <c r="AA19" s="577"/>
      <c r="AB19" s="577"/>
      <c r="AC19" s="577"/>
      <c r="AD19" s="577"/>
      <c r="AE19" s="577"/>
      <c r="AF19" s="577"/>
      <c r="AG19" s="577"/>
      <c r="AH19" s="577"/>
      <c r="AI19" s="577"/>
      <c r="AJ19" s="577"/>
      <c r="AK19" s="577"/>
      <c r="AL19" s="577"/>
      <c r="AM19" s="577"/>
      <c r="AN19" s="577"/>
      <c r="AO19" s="577"/>
      <c r="AP19" s="577"/>
      <c r="AQ19" s="577"/>
      <c r="AR19" s="577"/>
      <c r="AS19" s="577"/>
      <c r="AT19" s="577"/>
      <c r="AU19" s="577"/>
      <c r="AV19" s="577"/>
      <c r="AW19" s="577"/>
      <c r="AX19" s="577"/>
      <c r="AY19" s="577"/>
      <c r="AZ19" s="577"/>
    </row>
    <row r="20" spans="1:52" ht="15.75" customHeight="1" thickBot="1" x14ac:dyDescent="0.25">
      <c r="A20" s="584"/>
      <c r="B20" s="613">
        <v>0.03</v>
      </c>
      <c r="C20" s="614" t="s">
        <v>573</v>
      </c>
      <c r="D20" s="615"/>
      <c r="E20" s="581"/>
      <c r="F20" s="581"/>
      <c r="G20" s="581"/>
      <c r="H20" s="581"/>
      <c r="I20" s="581"/>
      <c r="J20" s="581"/>
      <c r="K20" s="581"/>
      <c r="L20" s="581"/>
      <c r="M20" s="582"/>
      <c r="N20" s="577"/>
      <c r="O20" s="577"/>
      <c r="P20" s="577"/>
      <c r="Q20" s="577"/>
      <c r="R20" s="577"/>
      <c r="S20" s="577"/>
      <c r="T20" s="577"/>
      <c r="U20" s="577"/>
      <c r="V20" s="577" t="s">
        <v>596</v>
      </c>
      <c r="W20" s="577"/>
      <c r="X20" s="577"/>
      <c r="Y20" s="577"/>
      <c r="Z20" s="577"/>
      <c r="AA20" s="577"/>
      <c r="AB20" s="577"/>
      <c r="AC20" s="577"/>
      <c r="AD20" s="577"/>
      <c r="AE20" s="577"/>
      <c r="AF20" s="577"/>
      <c r="AG20" s="577"/>
      <c r="AH20" s="577"/>
      <c r="AI20" s="577"/>
      <c r="AJ20" s="577"/>
      <c r="AK20" s="577"/>
      <c r="AL20" s="577"/>
      <c r="AM20" s="577"/>
      <c r="AN20" s="577"/>
      <c r="AO20" s="577"/>
      <c r="AP20" s="577"/>
      <c r="AQ20" s="577"/>
      <c r="AR20" s="577"/>
      <c r="AS20" s="577"/>
      <c r="AT20" s="577"/>
      <c r="AU20" s="577"/>
      <c r="AV20" s="577"/>
      <c r="AW20" s="577"/>
      <c r="AX20" s="577"/>
      <c r="AY20" s="577"/>
      <c r="AZ20" s="577"/>
    </row>
    <row r="21" spans="1:52" ht="15.75" customHeight="1" x14ac:dyDescent="0.2">
      <c r="A21" s="584"/>
      <c r="B21" s="569"/>
      <c r="C21" s="581"/>
      <c r="D21" s="581"/>
      <c r="E21" s="581"/>
      <c r="F21" s="581"/>
      <c r="G21" s="581"/>
      <c r="H21" s="581"/>
      <c r="I21" s="581"/>
      <c r="J21" s="581"/>
      <c r="K21" s="581"/>
      <c r="L21" s="581"/>
      <c r="M21" s="582"/>
      <c r="N21" s="577"/>
      <c r="O21" s="577"/>
      <c r="P21" s="577"/>
      <c r="Q21" s="577"/>
      <c r="R21" s="577"/>
      <c r="S21" s="577"/>
      <c r="T21" s="577"/>
      <c r="U21" s="577"/>
      <c r="V21" s="577" t="s">
        <v>597</v>
      </c>
      <c r="W21" s="625" t="s">
        <v>183</v>
      </c>
      <c r="X21" s="625" t="s">
        <v>184</v>
      </c>
      <c r="Y21" s="625" t="s">
        <v>587</v>
      </c>
      <c r="Z21" s="625" t="s">
        <v>560</v>
      </c>
      <c r="AA21" s="577"/>
      <c r="AB21" s="577"/>
      <c r="AC21" s="577"/>
      <c r="AD21" s="577"/>
      <c r="AE21" s="577"/>
      <c r="AF21" s="577"/>
      <c r="AG21" s="577"/>
      <c r="AH21" s="577"/>
      <c r="AI21" s="577"/>
      <c r="AJ21" s="577"/>
      <c r="AK21" s="577"/>
      <c r="AL21" s="577"/>
      <c r="AM21" s="577"/>
      <c r="AN21" s="577"/>
      <c r="AO21" s="577"/>
      <c r="AP21" s="577"/>
      <c r="AQ21" s="577"/>
      <c r="AR21" s="577"/>
      <c r="AS21" s="577"/>
      <c r="AT21" s="577"/>
      <c r="AU21" s="577"/>
      <c r="AV21" s="577"/>
      <c r="AW21" s="577"/>
      <c r="AX21" s="577"/>
      <c r="AY21" s="577"/>
      <c r="AZ21" s="577"/>
    </row>
    <row r="22" spans="1:52" ht="15.75" customHeight="1" x14ac:dyDescent="0.2">
      <c r="A22" s="584"/>
      <c r="B22" s="569" t="s">
        <v>574</v>
      </c>
      <c r="C22" s="581"/>
      <c r="D22" s="581"/>
      <c r="E22" s="581"/>
      <c r="F22" s="581"/>
      <c r="G22" s="581"/>
      <c r="H22" s="581"/>
      <c r="I22" s="581"/>
      <c r="J22" s="581"/>
      <c r="K22" s="581"/>
      <c r="L22" s="581"/>
      <c r="M22" s="582"/>
      <c r="N22" s="577"/>
      <c r="O22" s="577"/>
      <c r="P22" s="577"/>
      <c r="Q22" s="577"/>
      <c r="R22" s="577"/>
      <c r="S22" s="577"/>
      <c r="T22" s="577"/>
      <c r="U22" s="577"/>
      <c r="V22" s="577">
        <f>B$8</f>
        <v>2014</v>
      </c>
      <c r="W22" s="619">
        <f>W15/V15</f>
        <v>1.0537681159420289</v>
      </c>
      <c r="X22" s="619">
        <f>X15/W15</f>
        <v>1.0403433973463436</v>
      </c>
      <c r="Y22" s="619">
        <f>Y15/X15</f>
        <v>1.0624668507782067</v>
      </c>
      <c r="Z22" s="619"/>
      <c r="AA22" s="577"/>
      <c r="AB22" s="577"/>
      <c r="AC22" s="577"/>
      <c r="AD22" s="577"/>
      <c r="AE22" s="577"/>
      <c r="AF22" s="577"/>
      <c r="AG22" s="577"/>
      <c r="AH22" s="577"/>
      <c r="AI22" s="577"/>
      <c r="AJ22" s="577"/>
      <c r="AK22" s="577"/>
      <c r="AL22" s="577"/>
      <c r="AM22" s="577"/>
      <c r="AN22" s="577"/>
      <c r="AO22" s="577"/>
      <c r="AP22" s="577"/>
      <c r="AQ22" s="577"/>
      <c r="AR22" s="577"/>
      <c r="AS22" s="577"/>
      <c r="AT22" s="577"/>
      <c r="AU22" s="577"/>
      <c r="AV22" s="577"/>
      <c r="AW22" s="577"/>
      <c r="AX22" s="577"/>
      <c r="AY22" s="577"/>
      <c r="AZ22" s="577"/>
    </row>
    <row r="23" spans="1:52" ht="15.75" customHeight="1" x14ac:dyDescent="0.2">
      <c r="A23" s="584"/>
      <c r="B23" s="569" t="s">
        <v>575</v>
      </c>
      <c r="C23" s="581"/>
      <c r="D23" s="581"/>
      <c r="E23" s="581"/>
      <c r="F23" s="581"/>
      <c r="G23" s="581"/>
      <c r="H23" s="581"/>
      <c r="I23" s="581"/>
      <c r="J23" s="581"/>
      <c r="K23" s="581"/>
      <c r="L23" s="581"/>
      <c r="M23" s="582"/>
      <c r="N23" s="577"/>
      <c r="O23" s="577"/>
      <c r="P23" s="577"/>
      <c r="Q23" s="577"/>
      <c r="R23" s="577"/>
      <c r="S23" s="577"/>
      <c r="T23" s="577"/>
      <c r="U23" s="577"/>
      <c r="V23" s="577">
        <f t="shared" ref="V23:V25" si="9">B9</f>
        <v>2015</v>
      </c>
      <c r="W23" s="619">
        <f>W16/V16</f>
        <v>1.0469039673711531</v>
      </c>
      <c r="X23" s="619">
        <f>X16/W16</f>
        <v>1.0592742428695832</v>
      </c>
      <c r="Y23" s="619"/>
      <c r="Z23" s="619"/>
      <c r="AA23" s="577"/>
      <c r="AB23" s="577"/>
      <c r="AC23" s="577"/>
      <c r="AD23" s="577"/>
      <c r="AE23" s="577"/>
      <c r="AF23" s="577"/>
      <c r="AG23" s="577"/>
      <c r="AH23" s="577"/>
      <c r="AI23" s="577"/>
      <c r="AJ23" s="577"/>
      <c r="AK23" s="577"/>
      <c r="AL23" s="577"/>
      <c r="AM23" s="577"/>
      <c r="AN23" s="577"/>
      <c r="AO23" s="577"/>
      <c r="AP23" s="577"/>
      <c r="AQ23" s="577"/>
      <c r="AR23" s="577"/>
      <c r="AS23" s="577"/>
      <c r="AT23" s="577"/>
      <c r="AU23" s="577"/>
      <c r="AV23" s="577"/>
      <c r="AW23" s="577"/>
      <c r="AX23" s="577"/>
      <c r="AY23" s="577"/>
      <c r="AZ23" s="577"/>
    </row>
    <row r="24" spans="1:52" ht="15.75" customHeight="1" x14ac:dyDescent="0.2">
      <c r="A24" s="584"/>
      <c r="B24" s="569"/>
      <c r="C24" s="581"/>
      <c r="D24" s="581"/>
      <c r="E24" s="581"/>
      <c r="F24" s="581"/>
      <c r="G24" s="581"/>
      <c r="H24" s="581"/>
      <c r="I24" s="581"/>
      <c r="J24" s="581"/>
      <c r="K24" s="581"/>
      <c r="L24" s="581"/>
      <c r="M24" s="582"/>
      <c r="N24" s="577"/>
      <c r="O24" s="577"/>
      <c r="P24" s="577"/>
      <c r="Q24" s="577"/>
      <c r="R24" s="577"/>
      <c r="S24" s="577"/>
      <c r="T24" s="577"/>
      <c r="U24" s="577"/>
      <c r="V24" s="577">
        <f t="shared" si="9"/>
        <v>2016</v>
      </c>
      <c r="W24" s="619">
        <f>W17/V17</f>
        <v>1.0471633629528367</v>
      </c>
      <c r="X24" s="619"/>
      <c r="Y24" s="619"/>
      <c r="Z24" s="619"/>
      <c r="AA24" s="577"/>
      <c r="AB24" s="577"/>
      <c r="AC24" s="577"/>
      <c r="AD24" s="577"/>
      <c r="AE24" s="577"/>
      <c r="AF24" s="577"/>
      <c r="AG24" s="577"/>
      <c r="AH24" s="577"/>
      <c r="AI24" s="577"/>
      <c r="AJ24" s="577"/>
      <c r="AK24" s="577"/>
      <c r="AL24" s="577"/>
      <c r="AM24" s="577"/>
      <c r="AN24" s="577"/>
      <c r="AO24" s="577"/>
      <c r="AP24" s="577"/>
      <c r="AQ24" s="577"/>
      <c r="AR24" s="577"/>
      <c r="AS24" s="577"/>
      <c r="AT24" s="577"/>
      <c r="AU24" s="577"/>
      <c r="AV24" s="577"/>
      <c r="AW24" s="577"/>
      <c r="AX24" s="577"/>
      <c r="AY24" s="577"/>
      <c r="AZ24" s="577"/>
    </row>
    <row r="25" spans="1:52" ht="15.75" customHeight="1" x14ac:dyDescent="0.2">
      <c r="A25" s="584"/>
      <c r="B25" s="569" t="s">
        <v>576</v>
      </c>
      <c r="C25" s="581"/>
      <c r="D25" s="581"/>
      <c r="E25" s="581"/>
      <c r="F25" s="581"/>
      <c r="G25" s="581"/>
      <c r="H25" s="581"/>
      <c r="I25" s="581"/>
      <c r="J25" s="581"/>
      <c r="K25" s="581"/>
      <c r="L25" s="581"/>
      <c r="M25" s="582"/>
      <c r="N25" s="577"/>
      <c r="O25" s="577"/>
      <c r="P25" s="577"/>
      <c r="Q25" s="577"/>
      <c r="R25" s="577"/>
      <c r="S25" s="577"/>
      <c r="T25" s="577"/>
      <c r="U25" s="577"/>
      <c r="V25" s="577">
        <f t="shared" si="9"/>
        <v>2017</v>
      </c>
      <c r="W25" s="619"/>
      <c r="X25" s="619"/>
      <c r="Y25" s="619"/>
      <c r="Z25" s="619"/>
      <c r="AA25" s="577"/>
      <c r="AB25" s="577"/>
      <c r="AC25" s="577"/>
      <c r="AD25" s="577"/>
      <c r="AE25" s="577"/>
      <c r="AF25" s="577"/>
      <c r="AG25" s="577"/>
      <c r="AH25" s="577"/>
      <c r="AI25" s="577"/>
      <c r="AJ25" s="577"/>
      <c r="AK25" s="577"/>
      <c r="AL25" s="577"/>
      <c r="AM25" s="577"/>
      <c r="AN25" s="577"/>
      <c r="AO25" s="577"/>
      <c r="AP25" s="577"/>
      <c r="AQ25" s="577"/>
      <c r="AR25" s="577"/>
      <c r="AS25" s="577"/>
      <c r="AT25" s="577"/>
      <c r="AU25" s="577"/>
      <c r="AV25" s="577"/>
      <c r="AW25" s="577"/>
      <c r="AX25" s="577"/>
      <c r="AY25" s="577"/>
      <c r="AZ25" s="577"/>
    </row>
    <row r="26" spans="1:52" ht="15.75" customHeight="1" thickBot="1" x14ac:dyDescent="0.25">
      <c r="A26" s="616"/>
      <c r="B26" s="617"/>
      <c r="C26" s="617"/>
      <c r="D26" s="617"/>
      <c r="E26" s="617"/>
      <c r="F26" s="617"/>
      <c r="G26" s="617"/>
      <c r="H26" s="617"/>
      <c r="I26" s="617"/>
      <c r="J26" s="617"/>
      <c r="K26" s="617"/>
      <c r="L26" s="617"/>
      <c r="M26" s="618"/>
      <c r="N26" s="577"/>
      <c r="O26" s="577"/>
      <c r="P26" s="577"/>
      <c r="Q26" s="577"/>
      <c r="R26" s="577"/>
      <c r="S26" s="577"/>
      <c r="T26" s="577"/>
      <c r="U26" s="577"/>
      <c r="V26" s="577" t="s">
        <v>598</v>
      </c>
      <c r="W26" s="619">
        <f>AVERAGE(W22:W24)</f>
        <v>1.0492784820886729</v>
      </c>
      <c r="X26" s="619">
        <f t="shared" ref="X26:Y26" si="10">AVERAGE(X22:X24)</f>
        <v>1.0498088201079634</v>
      </c>
      <c r="Y26" s="619">
        <f t="shared" si="10"/>
        <v>1.0624668507782067</v>
      </c>
      <c r="Z26" s="619">
        <v>1</v>
      </c>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row>
    <row r="27" spans="1:52" ht="15.75" customHeight="1" thickBot="1" x14ac:dyDescent="0.25">
      <c r="A27" s="577"/>
      <c r="B27" s="577"/>
      <c r="C27" s="577"/>
      <c r="D27" s="577"/>
      <c r="E27" s="577"/>
      <c r="F27" s="577"/>
      <c r="G27" s="577"/>
      <c r="H27" s="577"/>
      <c r="I27" s="577"/>
      <c r="J27" s="577"/>
      <c r="K27" s="577"/>
      <c r="L27" s="577"/>
      <c r="M27" s="577"/>
      <c r="N27" s="577"/>
      <c r="O27" s="577"/>
      <c r="P27" s="626">
        <f>B20</f>
        <v>0.03</v>
      </c>
      <c r="Q27" s="627" t="str">
        <f>C20</f>
        <v>Claim severity trend</v>
      </c>
      <c r="R27" s="628"/>
      <c r="S27" s="577"/>
      <c r="T27" s="577"/>
      <c r="U27" s="577"/>
      <c r="V27" s="577" t="s">
        <v>599</v>
      </c>
      <c r="W27" s="619">
        <f>W26*X27</f>
        <v>1.1703516528204543</v>
      </c>
      <c r="X27" s="619">
        <f t="shared" ref="X27:Y27" si="11">X26*Y27</f>
        <v>1.1153870710192928</v>
      </c>
      <c r="Y27" s="619">
        <f t="shared" si="11"/>
        <v>1.0624668507782067</v>
      </c>
      <c r="Z27" s="619">
        <f>Z26</f>
        <v>1</v>
      </c>
      <c r="AA27" s="577"/>
      <c r="AB27" s="577"/>
      <c r="AC27" s="577"/>
      <c r="AD27" s="577"/>
      <c r="AE27" s="577"/>
      <c r="AF27" s="577"/>
      <c r="AG27" s="577"/>
      <c r="AH27" s="577"/>
      <c r="AI27" s="577"/>
      <c r="AJ27" s="577"/>
      <c r="AK27" s="577"/>
      <c r="AL27" s="577"/>
      <c r="AM27" s="577"/>
      <c r="AN27" s="577"/>
      <c r="AO27" s="577"/>
      <c r="AP27" s="577"/>
      <c r="AQ27" s="577"/>
      <c r="AR27" s="577"/>
      <c r="AS27" s="577"/>
      <c r="AT27" s="577"/>
      <c r="AU27" s="577"/>
      <c r="AV27" s="577"/>
      <c r="AW27" s="577"/>
      <c r="AX27" s="577"/>
      <c r="AY27" s="577"/>
      <c r="AZ27" s="577"/>
    </row>
    <row r="28" spans="1:52" ht="15.75" customHeight="1" x14ac:dyDescent="0.2">
      <c r="A28" s="577"/>
      <c r="B28" s="577"/>
      <c r="C28" s="577"/>
      <c r="D28" s="577"/>
      <c r="E28" s="577"/>
      <c r="F28" s="577"/>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7"/>
      <c r="AO28" s="577"/>
      <c r="AP28" s="577"/>
      <c r="AQ28" s="577"/>
      <c r="AR28" s="577"/>
      <c r="AS28" s="577"/>
      <c r="AT28" s="577"/>
      <c r="AU28" s="577"/>
      <c r="AV28" s="577"/>
      <c r="AW28" s="577"/>
      <c r="AX28" s="577"/>
      <c r="AY28" s="577"/>
      <c r="AZ28" s="577"/>
    </row>
    <row r="29" spans="1:52" ht="15.75" customHeight="1" x14ac:dyDescent="0.2">
      <c r="A29" s="577"/>
      <c r="B29" s="577"/>
      <c r="C29" s="577"/>
      <c r="D29" s="577"/>
      <c r="E29" s="577"/>
      <c r="F29" s="577"/>
      <c r="G29" s="577"/>
      <c r="H29" s="577"/>
      <c r="I29" s="577"/>
      <c r="J29" s="577"/>
      <c r="K29" s="577"/>
      <c r="L29" s="577"/>
      <c r="M29" s="577"/>
      <c r="N29" s="577"/>
      <c r="O29" s="577"/>
      <c r="P29" s="577"/>
      <c r="Q29" s="577"/>
      <c r="R29" s="577"/>
      <c r="S29" s="577"/>
      <c r="T29" s="577"/>
      <c r="U29" s="577" t="s">
        <v>597</v>
      </c>
      <c r="V29" s="577" t="s">
        <v>600</v>
      </c>
      <c r="W29" s="577"/>
      <c r="X29" s="577"/>
      <c r="Y29" s="577"/>
      <c r="Z29" s="577"/>
      <c r="AA29" s="577"/>
      <c r="AB29" s="577"/>
      <c r="AC29" s="577"/>
      <c r="AD29" s="577"/>
      <c r="AE29" s="577"/>
      <c r="AF29" s="577"/>
      <c r="AG29" s="577"/>
      <c r="AH29" s="577"/>
      <c r="AI29" s="577"/>
      <c r="AJ29" s="577"/>
      <c r="AK29" s="577"/>
      <c r="AL29" s="577"/>
      <c r="AM29" s="577"/>
      <c r="AN29" s="577"/>
      <c r="AO29" s="577"/>
      <c r="AP29" s="577"/>
      <c r="AQ29" s="577"/>
      <c r="AR29" s="577"/>
      <c r="AS29" s="577"/>
      <c r="AT29" s="577"/>
      <c r="AU29" s="577"/>
      <c r="AV29" s="577"/>
      <c r="AW29" s="577"/>
      <c r="AX29" s="577"/>
      <c r="AY29" s="577"/>
      <c r="AZ29" s="577"/>
    </row>
    <row r="30" spans="1:52" ht="15.75" customHeight="1" x14ac:dyDescent="0.2">
      <c r="A30" s="577"/>
      <c r="B30" s="577"/>
      <c r="C30" s="577"/>
      <c r="D30" s="577"/>
      <c r="E30" s="577"/>
      <c r="F30" s="577"/>
      <c r="G30" s="577"/>
      <c r="H30" s="577"/>
      <c r="I30" s="577"/>
      <c r="J30" s="577"/>
      <c r="K30" s="577"/>
      <c r="L30" s="577"/>
      <c r="M30" s="577"/>
      <c r="N30" s="577"/>
      <c r="O30" s="577"/>
      <c r="P30" s="577"/>
      <c r="Q30" s="577"/>
      <c r="R30" s="577"/>
      <c r="S30" s="577"/>
      <c r="T30" s="577"/>
      <c r="U30" s="577">
        <f>V22</f>
        <v>2014</v>
      </c>
      <c r="V30" s="629">
        <f>Z27*Y15</f>
        <v>8735.7142857142862</v>
      </c>
      <c r="W30" s="577"/>
      <c r="X30" s="577"/>
      <c r="Y30" s="577"/>
      <c r="Z30" s="577"/>
      <c r="AA30" s="577"/>
      <c r="AB30" s="577"/>
      <c r="AC30" s="577"/>
      <c r="AD30" s="577"/>
      <c r="AE30" s="577"/>
      <c r="AF30" s="577"/>
      <c r="AG30" s="577"/>
      <c r="AH30" s="577"/>
      <c r="AI30" s="577"/>
      <c r="AJ30" s="577"/>
      <c r="AK30" s="577"/>
      <c r="AL30" s="577"/>
      <c r="AM30" s="577"/>
      <c r="AN30" s="577"/>
      <c r="AO30" s="577"/>
      <c r="AP30" s="577"/>
      <c r="AQ30" s="577"/>
      <c r="AR30" s="577"/>
      <c r="AS30" s="577"/>
      <c r="AT30" s="577"/>
      <c r="AU30" s="577"/>
      <c r="AV30" s="577"/>
      <c r="AW30" s="577"/>
      <c r="AX30" s="577"/>
      <c r="AY30" s="577"/>
      <c r="AZ30" s="577"/>
    </row>
    <row r="31" spans="1:52" ht="15.75" customHeight="1" x14ac:dyDescent="0.2">
      <c r="A31" s="577"/>
      <c r="B31" s="577"/>
      <c r="C31" s="577"/>
      <c r="D31" s="577"/>
      <c r="E31" s="577"/>
      <c r="F31" s="577"/>
      <c r="G31" s="577"/>
      <c r="H31" s="577"/>
      <c r="I31" s="577"/>
      <c r="J31" s="577"/>
      <c r="K31" s="577"/>
      <c r="L31" s="577"/>
      <c r="M31" s="577"/>
      <c r="N31" s="577"/>
      <c r="O31" s="577"/>
      <c r="P31" s="577"/>
      <c r="Q31" s="577"/>
      <c r="R31" s="577"/>
      <c r="S31" s="577"/>
      <c r="T31" s="577"/>
      <c r="U31" s="577">
        <f t="shared" ref="U31:U33" si="12">V23</f>
        <v>2015</v>
      </c>
      <c r="V31" s="629">
        <f>Y27*X16</f>
        <v>8542.1787139242679</v>
      </c>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row>
    <row r="32" spans="1:52" ht="15.75" customHeight="1" x14ac:dyDescent="0.2">
      <c r="A32" s="577"/>
      <c r="B32" s="577"/>
      <c r="C32" s="577"/>
      <c r="D32" s="577"/>
      <c r="E32" s="577"/>
      <c r="F32" s="577"/>
      <c r="G32" s="577"/>
      <c r="H32" s="577"/>
      <c r="I32" s="577"/>
      <c r="J32" s="577"/>
      <c r="K32" s="577"/>
      <c r="L32" s="577"/>
      <c r="M32" s="577"/>
      <c r="N32" s="577"/>
      <c r="O32" s="577"/>
      <c r="P32" s="577"/>
      <c r="Q32" s="577"/>
      <c r="R32" s="577"/>
      <c r="S32" s="577"/>
      <c r="T32" s="577"/>
      <c r="U32" s="577">
        <f t="shared" si="12"/>
        <v>2016</v>
      </c>
      <c r="V32" s="629">
        <f>X27*W17</f>
        <v>8993.5420673766148</v>
      </c>
      <c r="W32" s="577"/>
      <c r="X32" s="577"/>
      <c r="Y32" s="577"/>
      <c r="Z32" s="577"/>
      <c r="AA32" s="577"/>
      <c r="AB32" s="577"/>
      <c r="AC32" s="577"/>
      <c r="AD32" s="577"/>
      <c r="AE32" s="577"/>
      <c r="AF32" s="577"/>
      <c r="AG32" s="577"/>
      <c r="AH32" s="577"/>
      <c r="AI32" s="577"/>
      <c r="AJ32" s="577"/>
      <c r="AK32" s="577"/>
      <c r="AL32" s="577"/>
      <c r="AM32" s="577"/>
      <c r="AN32" s="577"/>
      <c r="AO32" s="577"/>
      <c r="AP32" s="577"/>
      <c r="AQ32" s="577"/>
      <c r="AR32" s="577"/>
      <c r="AS32" s="577"/>
      <c r="AT32" s="577"/>
      <c r="AU32" s="577"/>
      <c r="AV32" s="577"/>
      <c r="AW32" s="577"/>
      <c r="AX32" s="577"/>
      <c r="AY32" s="577"/>
      <c r="AZ32" s="577"/>
    </row>
    <row r="33" spans="1:52" ht="15.75" customHeight="1" x14ac:dyDescent="0.2">
      <c r="A33" s="577"/>
      <c r="B33" s="577"/>
      <c r="C33" s="577"/>
      <c r="D33" s="577"/>
      <c r="E33" s="577"/>
      <c r="F33" s="577"/>
      <c r="G33" s="577"/>
      <c r="H33" s="577"/>
      <c r="I33" s="577"/>
      <c r="J33" s="577"/>
      <c r="K33" s="577"/>
      <c r="L33" s="577"/>
      <c r="M33" s="577"/>
      <c r="N33" s="577"/>
      <c r="O33" s="577"/>
      <c r="P33" s="577"/>
      <c r="Q33" s="577"/>
      <c r="R33" s="577"/>
      <c r="S33" s="577"/>
      <c r="T33" s="577"/>
      <c r="U33" s="577">
        <f t="shared" si="12"/>
        <v>2017</v>
      </c>
      <c r="V33" s="629">
        <f>W27*V18</f>
        <v>9304.2956399226114</v>
      </c>
      <c r="W33" s="577"/>
      <c r="X33" s="577"/>
      <c r="Y33" s="577"/>
      <c r="Z33" s="577"/>
      <c r="AA33" s="577"/>
      <c r="AB33" s="577"/>
      <c r="AC33" s="577"/>
      <c r="AD33" s="577"/>
      <c r="AE33" s="577"/>
      <c r="AF33" s="577"/>
      <c r="AG33" s="577"/>
      <c r="AH33" s="577"/>
      <c r="AI33" s="577"/>
      <c r="AJ33" s="577"/>
      <c r="AK33" s="577"/>
      <c r="AL33" s="577"/>
      <c r="AM33" s="577"/>
      <c r="AN33" s="577"/>
      <c r="AO33" s="577"/>
      <c r="AP33" s="577"/>
      <c r="AQ33" s="577"/>
      <c r="AR33" s="577"/>
      <c r="AS33" s="577"/>
      <c r="AT33" s="577"/>
      <c r="AU33" s="577"/>
      <c r="AV33" s="577"/>
      <c r="AW33" s="577"/>
      <c r="AX33" s="577"/>
      <c r="AY33" s="577"/>
      <c r="AZ33" s="577"/>
    </row>
    <row r="34" spans="1:52" ht="15.75" customHeight="1" x14ac:dyDescent="0.2">
      <c r="A34" s="577"/>
      <c r="B34" s="577"/>
      <c r="C34" s="577"/>
      <c r="D34" s="577"/>
      <c r="E34" s="577"/>
      <c r="F34" s="577"/>
      <c r="G34" s="577"/>
      <c r="H34" s="577"/>
      <c r="I34" s="577"/>
      <c r="J34" s="577"/>
      <c r="K34" s="577"/>
      <c r="L34" s="577"/>
      <c r="M34" s="577"/>
      <c r="N34" s="577"/>
      <c r="O34" s="577"/>
      <c r="P34" s="577"/>
      <c r="Q34" s="577"/>
      <c r="R34" s="577"/>
      <c r="S34" s="577"/>
      <c r="T34" s="577"/>
      <c r="U34" s="577"/>
      <c r="V34" s="577"/>
      <c r="W34" s="577"/>
      <c r="X34" s="577"/>
      <c r="Y34" s="577"/>
      <c r="Z34" s="577"/>
      <c r="AA34" s="577"/>
      <c r="AB34" s="577"/>
      <c r="AC34" s="577"/>
      <c r="AD34" s="577"/>
      <c r="AE34" s="577"/>
      <c r="AF34" s="577"/>
      <c r="AG34" s="577"/>
      <c r="AH34" s="577"/>
      <c r="AI34" s="577"/>
      <c r="AJ34" s="577"/>
      <c r="AK34" s="577"/>
      <c r="AL34" s="577"/>
      <c r="AM34" s="577"/>
      <c r="AN34" s="577"/>
      <c r="AO34" s="577"/>
      <c r="AP34" s="577"/>
      <c r="AQ34" s="577"/>
      <c r="AR34" s="577"/>
      <c r="AS34" s="577"/>
      <c r="AT34" s="577"/>
      <c r="AU34" s="577"/>
      <c r="AV34" s="577"/>
      <c r="AW34" s="577"/>
      <c r="AX34" s="577"/>
      <c r="AY34" s="577"/>
      <c r="AZ34" s="577"/>
    </row>
    <row r="35" spans="1:52" ht="15.75" customHeight="1" x14ac:dyDescent="0.2">
      <c r="A35" s="577"/>
      <c r="B35" s="577"/>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577"/>
      <c r="AJ35" s="577"/>
      <c r="AK35" s="577"/>
      <c r="AL35" s="577"/>
      <c r="AM35" s="577"/>
      <c r="AN35" s="577"/>
      <c r="AO35" s="577"/>
      <c r="AP35" s="577"/>
      <c r="AQ35" s="577"/>
      <c r="AR35" s="577"/>
      <c r="AS35" s="577"/>
      <c r="AT35" s="577"/>
      <c r="AU35" s="577"/>
      <c r="AV35" s="577"/>
      <c r="AW35" s="577"/>
      <c r="AX35" s="577"/>
      <c r="AY35" s="577"/>
      <c r="AZ35" s="577"/>
    </row>
    <row r="36" spans="1:52" ht="15.75" customHeight="1" x14ac:dyDescent="0.2">
      <c r="A36" s="577"/>
      <c r="B36" s="577"/>
      <c r="C36" s="577"/>
      <c r="D36" s="577"/>
      <c r="E36" s="577"/>
      <c r="F36" s="577"/>
      <c r="G36" s="577"/>
      <c r="H36" s="577"/>
      <c r="I36" s="577"/>
      <c r="J36" s="577"/>
      <c r="K36" s="577"/>
      <c r="L36" s="577"/>
      <c r="M36" s="577"/>
      <c r="N36" s="577"/>
      <c r="O36" s="577"/>
      <c r="P36" s="577"/>
      <c r="Q36" s="577"/>
      <c r="R36" s="630"/>
      <c r="S36" s="630"/>
      <c r="T36" s="630"/>
      <c r="U36" s="631" t="s">
        <v>601</v>
      </c>
      <c r="V36" s="632">
        <f>C18*V33</f>
        <v>1860859.1279845224</v>
      </c>
      <c r="W36" s="577"/>
      <c r="X36" s="577"/>
      <c r="Y36" s="577"/>
      <c r="Z36" s="577"/>
      <c r="AA36" s="577"/>
      <c r="AB36" s="577"/>
      <c r="AC36" s="577"/>
      <c r="AD36" s="577"/>
      <c r="AE36" s="577"/>
      <c r="AF36" s="577"/>
      <c r="AG36" s="577"/>
      <c r="AH36" s="577"/>
      <c r="AI36" s="577"/>
      <c r="AJ36" s="577"/>
      <c r="AK36" s="577"/>
      <c r="AL36" s="577"/>
      <c r="AM36" s="577"/>
      <c r="AN36" s="577"/>
      <c r="AO36" s="577"/>
      <c r="AP36" s="577"/>
      <c r="AQ36" s="577"/>
      <c r="AR36" s="577"/>
      <c r="AS36" s="577"/>
      <c r="AT36" s="577"/>
      <c r="AU36" s="577"/>
      <c r="AV36" s="577"/>
      <c r="AW36" s="577"/>
      <c r="AX36" s="577"/>
      <c r="AY36" s="577"/>
      <c r="AZ36" s="577"/>
    </row>
    <row r="37" spans="1:52" ht="15.75" customHeight="1" x14ac:dyDescent="0.2">
      <c r="A37" s="577"/>
      <c r="B37" s="577"/>
      <c r="C37" s="577"/>
      <c r="D37" s="577"/>
      <c r="E37" s="577"/>
      <c r="F37" s="577"/>
      <c r="G37" s="577"/>
      <c r="H37" s="577"/>
      <c r="I37" s="577"/>
      <c r="J37" s="577"/>
      <c r="K37" s="577"/>
      <c r="L37" s="577"/>
      <c r="M37" s="577"/>
      <c r="N37" s="577"/>
      <c r="O37" s="577"/>
      <c r="P37" s="577"/>
      <c r="Q37" s="577"/>
      <c r="R37" s="577"/>
      <c r="S37" s="577"/>
      <c r="T37" s="577"/>
      <c r="U37" s="633" t="s">
        <v>602</v>
      </c>
      <c r="V37" s="634">
        <f>V36-V12</f>
        <v>390109.12798452238</v>
      </c>
      <c r="W37" s="577"/>
      <c r="X37" s="577"/>
      <c r="Y37" s="577"/>
      <c r="Z37" s="577"/>
      <c r="AA37" s="577"/>
      <c r="AB37" s="577"/>
      <c r="AC37" s="577"/>
      <c r="AD37" s="577"/>
      <c r="AE37" s="577"/>
      <c r="AF37" s="577"/>
      <c r="AG37" s="577"/>
      <c r="AH37" s="577"/>
      <c r="AI37" s="577"/>
      <c r="AJ37" s="577"/>
      <c r="AK37" s="577"/>
      <c r="AL37" s="577"/>
      <c r="AM37" s="577"/>
      <c r="AN37" s="577"/>
      <c r="AO37" s="577"/>
      <c r="AP37" s="577"/>
      <c r="AQ37" s="577"/>
      <c r="AR37" s="577"/>
      <c r="AS37" s="577"/>
      <c r="AT37" s="577"/>
      <c r="AU37" s="577"/>
      <c r="AV37" s="577"/>
      <c r="AW37" s="577"/>
      <c r="AX37" s="577"/>
      <c r="AY37" s="577"/>
      <c r="AZ37" s="577"/>
    </row>
    <row r="38" spans="1:52" ht="15.75" customHeight="1" x14ac:dyDescent="0.2">
      <c r="A38" s="577"/>
      <c r="B38" s="577"/>
      <c r="C38" s="577"/>
      <c r="D38" s="577"/>
      <c r="E38" s="577"/>
      <c r="F38" s="577"/>
      <c r="G38" s="577"/>
      <c r="H38" s="577"/>
      <c r="I38" s="577"/>
      <c r="J38" s="577"/>
      <c r="K38" s="577"/>
      <c r="L38" s="57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577"/>
      <c r="AJ38" s="577"/>
      <c r="AK38" s="577"/>
      <c r="AL38" s="577"/>
      <c r="AM38" s="577"/>
      <c r="AN38" s="577"/>
      <c r="AO38" s="577"/>
      <c r="AP38" s="577"/>
      <c r="AQ38" s="577"/>
      <c r="AR38" s="577"/>
      <c r="AS38" s="577"/>
      <c r="AT38" s="577"/>
      <c r="AU38" s="577"/>
      <c r="AV38" s="577"/>
      <c r="AW38" s="577"/>
      <c r="AX38" s="577"/>
      <c r="AY38" s="577"/>
      <c r="AZ38" s="577"/>
    </row>
    <row r="39" spans="1:52" ht="15.75" customHeight="1" x14ac:dyDescent="0.2">
      <c r="A39" s="577"/>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577"/>
      <c r="AJ39" s="577"/>
      <c r="AK39" s="577"/>
      <c r="AL39" s="577"/>
      <c r="AM39" s="577"/>
      <c r="AN39" s="577"/>
      <c r="AO39" s="577"/>
      <c r="AP39" s="577"/>
      <c r="AQ39" s="577"/>
      <c r="AR39" s="577"/>
      <c r="AS39" s="577"/>
      <c r="AT39" s="577"/>
      <c r="AU39" s="577"/>
      <c r="AV39" s="577"/>
      <c r="AW39" s="577"/>
      <c r="AX39" s="577"/>
      <c r="AY39" s="577"/>
      <c r="AZ39" s="577"/>
    </row>
    <row r="40" spans="1:52" ht="15.75" customHeight="1" x14ac:dyDescent="0.2">
      <c r="A40" s="577"/>
      <c r="B40" s="577"/>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577"/>
      <c r="AJ40" s="577"/>
      <c r="AK40" s="577"/>
      <c r="AL40" s="577"/>
      <c r="AM40" s="577"/>
      <c r="AN40" s="577"/>
      <c r="AO40" s="577"/>
      <c r="AP40" s="577"/>
      <c r="AQ40" s="577"/>
      <c r="AR40" s="577"/>
      <c r="AS40" s="577"/>
      <c r="AT40" s="577"/>
      <c r="AU40" s="577"/>
      <c r="AV40" s="577"/>
      <c r="AW40" s="577"/>
      <c r="AX40" s="577"/>
      <c r="AY40" s="577"/>
      <c r="AZ40" s="577"/>
    </row>
    <row r="41" spans="1:52" ht="15.75" customHeight="1" x14ac:dyDescent="0.2">
      <c r="A41" s="577"/>
      <c r="B41" s="577"/>
      <c r="C41" s="577"/>
      <c r="D41" s="577"/>
      <c r="E41" s="577"/>
      <c r="F41" s="577"/>
      <c r="G41" s="577"/>
      <c r="H41" s="577"/>
      <c r="I41" s="577"/>
      <c r="J41" s="577"/>
      <c r="K41" s="577"/>
      <c r="L41" s="577"/>
      <c r="M41" s="577"/>
      <c r="N41" s="577"/>
      <c r="O41" s="577"/>
      <c r="P41" s="577"/>
      <c r="Q41" s="577"/>
      <c r="R41" s="577"/>
      <c r="S41" s="577"/>
      <c r="T41" s="577"/>
      <c r="U41" s="577"/>
      <c r="V41" s="577"/>
      <c r="W41" s="577"/>
      <c r="X41" s="577"/>
      <c r="Y41" s="577"/>
      <c r="Z41" s="577"/>
      <c r="AA41" s="577"/>
      <c r="AB41" s="577"/>
      <c r="AC41" s="577"/>
      <c r="AD41" s="577"/>
      <c r="AE41" s="577"/>
      <c r="AF41" s="577"/>
      <c r="AG41" s="577"/>
      <c r="AH41" s="577"/>
      <c r="AI41" s="577"/>
      <c r="AJ41" s="577"/>
      <c r="AK41" s="577"/>
      <c r="AL41" s="577"/>
      <c r="AM41" s="577"/>
      <c r="AN41" s="577"/>
      <c r="AO41" s="577"/>
      <c r="AP41" s="577"/>
      <c r="AQ41" s="577"/>
      <c r="AR41" s="577"/>
      <c r="AS41" s="577"/>
      <c r="AT41" s="577"/>
      <c r="AU41" s="577"/>
      <c r="AV41" s="577"/>
      <c r="AW41" s="577"/>
      <c r="AX41" s="577"/>
      <c r="AY41" s="577"/>
      <c r="AZ41" s="577"/>
    </row>
    <row r="42" spans="1:52" ht="15.75" customHeight="1" x14ac:dyDescent="0.2">
      <c r="A42" s="577"/>
      <c r="B42" s="577"/>
      <c r="C42" s="577"/>
      <c r="D42" s="577"/>
      <c r="E42" s="577"/>
      <c r="F42" s="577"/>
      <c r="G42" s="577"/>
      <c r="H42" s="577"/>
      <c r="I42" s="577"/>
      <c r="J42" s="577"/>
      <c r="K42" s="577"/>
      <c r="L42" s="577"/>
      <c r="M42" s="577"/>
      <c r="N42" s="577"/>
      <c r="O42" s="577"/>
      <c r="P42" s="577"/>
      <c r="Q42" s="577"/>
      <c r="R42" s="577"/>
      <c r="S42" s="577"/>
      <c r="T42" s="577"/>
      <c r="U42" s="577"/>
      <c r="V42" s="577"/>
      <c r="W42" s="577"/>
      <c r="X42" s="577"/>
      <c r="Y42" s="577"/>
      <c r="Z42" s="577"/>
      <c r="AA42" s="577"/>
      <c r="AB42" s="577"/>
      <c r="AC42" s="577"/>
      <c r="AD42" s="577"/>
      <c r="AE42" s="577"/>
      <c r="AF42" s="577"/>
      <c r="AG42" s="577"/>
      <c r="AH42" s="577"/>
      <c r="AI42" s="577"/>
      <c r="AJ42" s="577"/>
      <c r="AK42" s="577"/>
      <c r="AL42" s="577"/>
      <c r="AM42" s="577"/>
      <c r="AN42" s="577"/>
      <c r="AO42" s="577"/>
      <c r="AP42" s="577"/>
      <c r="AQ42" s="577"/>
      <c r="AR42" s="577"/>
      <c r="AS42" s="577"/>
      <c r="AT42" s="577"/>
      <c r="AU42" s="577"/>
      <c r="AV42" s="577"/>
      <c r="AW42" s="577"/>
      <c r="AX42" s="577"/>
      <c r="AY42" s="577"/>
      <c r="AZ42" s="577"/>
    </row>
    <row r="43" spans="1:52" ht="15.75" customHeight="1" x14ac:dyDescent="0.2">
      <c r="A43" s="577"/>
      <c r="B43" s="577"/>
      <c r="C43" s="577"/>
      <c r="D43" s="577"/>
      <c r="E43" s="577"/>
      <c r="F43" s="577"/>
      <c r="G43" s="577"/>
      <c r="H43" s="577"/>
      <c r="I43" s="577"/>
      <c r="J43" s="577"/>
      <c r="K43" s="577"/>
      <c r="L43" s="577"/>
      <c r="M43" s="577"/>
      <c r="N43" s="577"/>
      <c r="O43" s="577"/>
      <c r="P43" s="577"/>
      <c r="Q43" s="577"/>
      <c r="R43" s="577"/>
      <c r="S43" s="577"/>
      <c r="T43" s="577"/>
      <c r="U43" s="577"/>
      <c r="V43" s="577"/>
      <c r="W43" s="577"/>
      <c r="X43" s="577"/>
      <c r="Y43" s="577"/>
      <c r="Z43" s="577"/>
      <c r="AA43" s="577"/>
      <c r="AB43" s="577"/>
      <c r="AC43" s="577"/>
      <c r="AD43" s="577"/>
      <c r="AE43" s="577"/>
      <c r="AF43" s="577"/>
      <c r="AG43" s="577"/>
      <c r="AH43" s="577"/>
      <c r="AI43" s="577"/>
      <c r="AJ43" s="577"/>
      <c r="AK43" s="577"/>
      <c r="AL43" s="577"/>
      <c r="AM43" s="577"/>
      <c r="AN43" s="577"/>
      <c r="AO43" s="577"/>
      <c r="AP43" s="577"/>
      <c r="AQ43" s="577"/>
      <c r="AR43" s="577"/>
      <c r="AS43" s="577"/>
      <c r="AT43" s="577"/>
      <c r="AU43" s="577"/>
      <c r="AV43" s="577"/>
      <c r="AW43" s="577"/>
      <c r="AX43" s="577"/>
      <c r="AY43" s="577"/>
      <c r="AZ43" s="577"/>
    </row>
    <row r="44" spans="1:52" ht="15.75" customHeight="1" x14ac:dyDescent="0.2">
      <c r="A44" s="577"/>
      <c r="B44" s="577"/>
      <c r="C44" s="577"/>
      <c r="D44" s="577"/>
      <c r="E44" s="577"/>
      <c r="F44" s="577"/>
      <c r="G44" s="577"/>
      <c r="H44" s="577"/>
      <c r="I44" s="577"/>
      <c r="J44" s="577"/>
      <c r="K44" s="577"/>
      <c r="L44" s="577"/>
      <c r="M44" s="577"/>
      <c r="N44" s="577"/>
      <c r="O44" s="577"/>
      <c r="P44" s="577"/>
      <c r="Q44" s="577"/>
      <c r="R44" s="577"/>
      <c r="S44" s="577"/>
      <c r="T44" s="577"/>
      <c r="U44" s="577"/>
      <c r="V44" s="577"/>
      <c r="W44" s="577"/>
      <c r="X44" s="577"/>
      <c r="Y44" s="577"/>
      <c r="Z44" s="577"/>
      <c r="AA44" s="577"/>
      <c r="AB44" s="577"/>
      <c r="AC44" s="577"/>
      <c r="AD44" s="577"/>
      <c r="AE44" s="577"/>
      <c r="AF44" s="577"/>
      <c r="AG44" s="577"/>
      <c r="AH44" s="577"/>
      <c r="AI44" s="577"/>
      <c r="AJ44" s="577"/>
      <c r="AK44" s="577"/>
      <c r="AL44" s="577"/>
      <c r="AM44" s="577"/>
      <c r="AN44" s="577"/>
      <c r="AO44" s="577"/>
      <c r="AP44" s="577"/>
      <c r="AQ44" s="577"/>
      <c r="AR44" s="577"/>
      <c r="AS44" s="577"/>
      <c r="AT44" s="577"/>
      <c r="AU44" s="577"/>
      <c r="AV44" s="577"/>
      <c r="AW44" s="577"/>
      <c r="AX44" s="577"/>
      <c r="AY44" s="577"/>
      <c r="AZ44" s="577"/>
    </row>
    <row r="45" spans="1:52" ht="15.75" customHeight="1" x14ac:dyDescent="0.2">
      <c r="A45" s="577"/>
      <c r="B45" s="577"/>
      <c r="C45" s="577"/>
      <c r="D45" s="577"/>
      <c r="E45" s="577"/>
      <c r="F45" s="577"/>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577"/>
      <c r="AJ45" s="577"/>
      <c r="AK45" s="577"/>
      <c r="AL45" s="577"/>
      <c r="AM45" s="577"/>
      <c r="AN45" s="577"/>
      <c r="AO45" s="577"/>
      <c r="AP45" s="577"/>
      <c r="AQ45" s="577"/>
      <c r="AR45" s="577"/>
      <c r="AS45" s="577"/>
      <c r="AT45" s="577"/>
      <c r="AU45" s="577"/>
      <c r="AV45" s="577"/>
      <c r="AW45" s="577"/>
      <c r="AX45" s="577"/>
      <c r="AY45" s="577"/>
      <c r="AZ45" s="577"/>
    </row>
    <row r="46" spans="1:52" ht="15.75" customHeight="1" x14ac:dyDescent="0.2">
      <c r="A46" s="577"/>
      <c r="B46" s="577"/>
      <c r="C46" s="577"/>
      <c r="D46" s="577"/>
      <c r="E46" s="577"/>
      <c r="F46" s="577"/>
      <c r="G46" s="577"/>
      <c r="H46" s="577"/>
      <c r="I46" s="577"/>
      <c r="J46" s="577"/>
      <c r="K46" s="577"/>
      <c r="L46" s="577"/>
      <c r="M46" s="577"/>
      <c r="N46" s="577"/>
      <c r="O46" s="577"/>
      <c r="P46" s="577"/>
      <c r="Q46" s="577"/>
      <c r="R46" s="577"/>
      <c r="S46" s="577"/>
      <c r="T46" s="577"/>
      <c r="U46" s="577"/>
      <c r="V46" s="577"/>
      <c r="W46" s="577"/>
      <c r="X46" s="577"/>
      <c r="Y46" s="577"/>
      <c r="Z46" s="577"/>
      <c r="AA46" s="577"/>
      <c r="AB46" s="577"/>
      <c r="AC46" s="577"/>
      <c r="AD46" s="577"/>
      <c r="AE46" s="577"/>
      <c r="AF46" s="577"/>
      <c r="AG46" s="577"/>
      <c r="AH46" s="577"/>
      <c r="AI46" s="577"/>
      <c r="AJ46" s="577"/>
      <c r="AK46" s="577"/>
      <c r="AL46" s="577"/>
      <c r="AM46" s="577"/>
      <c r="AN46" s="577"/>
      <c r="AO46" s="577"/>
      <c r="AP46" s="577"/>
      <c r="AQ46" s="577"/>
      <c r="AR46" s="577"/>
      <c r="AS46" s="577"/>
      <c r="AT46" s="577"/>
      <c r="AU46" s="577"/>
      <c r="AV46" s="577"/>
      <c r="AW46" s="577"/>
      <c r="AX46" s="577"/>
      <c r="AY46" s="577"/>
      <c r="AZ46" s="577"/>
    </row>
    <row r="47" spans="1:52" ht="15.75" customHeight="1" x14ac:dyDescent="0.2">
      <c r="A47" s="577"/>
      <c r="B47" s="577"/>
      <c r="C47" s="577"/>
      <c r="D47" s="577"/>
      <c r="E47" s="577"/>
      <c r="F47" s="577"/>
      <c r="G47" s="577"/>
      <c r="H47" s="577"/>
      <c r="I47" s="577"/>
      <c r="J47" s="577"/>
      <c r="K47" s="577"/>
      <c r="L47" s="577"/>
      <c r="M47" s="577"/>
      <c r="N47" s="577"/>
      <c r="O47" s="577"/>
      <c r="P47" s="577"/>
      <c r="Q47" s="577"/>
      <c r="R47" s="577"/>
      <c r="S47" s="577"/>
      <c r="T47" s="577"/>
      <c r="U47" s="577"/>
      <c r="V47" s="577"/>
      <c r="W47" s="577"/>
      <c r="X47" s="577"/>
      <c r="Y47" s="577"/>
      <c r="Z47" s="577"/>
      <c r="AA47" s="577"/>
      <c r="AB47" s="577"/>
      <c r="AC47" s="577"/>
      <c r="AD47" s="577"/>
      <c r="AE47" s="577"/>
      <c r="AF47" s="577"/>
      <c r="AG47" s="577"/>
      <c r="AH47" s="577"/>
      <c r="AI47" s="577"/>
      <c r="AJ47" s="577"/>
      <c r="AK47" s="577"/>
      <c r="AL47" s="577"/>
      <c r="AM47" s="577"/>
      <c r="AN47" s="577"/>
      <c r="AO47" s="577"/>
      <c r="AP47" s="577"/>
      <c r="AQ47" s="577"/>
      <c r="AR47" s="577"/>
      <c r="AS47" s="577"/>
      <c r="AT47" s="577"/>
      <c r="AU47" s="577"/>
      <c r="AV47" s="577"/>
      <c r="AW47" s="577"/>
      <c r="AX47" s="577"/>
      <c r="AY47" s="577"/>
      <c r="AZ47" s="577"/>
    </row>
    <row r="48" spans="1:52" ht="15.75" customHeight="1" x14ac:dyDescent="0.2">
      <c r="A48" s="577"/>
      <c r="B48" s="577"/>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577"/>
      <c r="AJ48" s="577"/>
      <c r="AK48" s="577"/>
      <c r="AL48" s="577"/>
      <c r="AM48" s="577"/>
      <c r="AN48" s="577"/>
      <c r="AO48" s="577"/>
      <c r="AP48" s="577"/>
      <c r="AQ48" s="577"/>
      <c r="AR48" s="577"/>
      <c r="AS48" s="577"/>
      <c r="AT48" s="577"/>
      <c r="AU48" s="577"/>
      <c r="AV48" s="577"/>
      <c r="AW48" s="577"/>
      <c r="AX48" s="577"/>
      <c r="AY48" s="577"/>
      <c r="AZ48" s="577"/>
    </row>
    <row r="49" spans="1:52" ht="15.75" customHeight="1" x14ac:dyDescent="0.2">
      <c r="A49" s="577"/>
      <c r="B49" s="577"/>
      <c r="C49" s="577"/>
      <c r="D49" s="577"/>
      <c r="E49" s="577"/>
      <c r="F49" s="577"/>
      <c r="G49" s="577"/>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577"/>
      <c r="AO49" s="577"/>
      <c r="AP49" s="577"/>
      <c r="AQ49" s="577"/>
      <c r="AR49" s="577"/>
      <c r="AS49" s="577"/>
      <c r="AT49" s="577"/>
      <c r="AU49" s="577"/>
      <c r="AV49" s="577"/>
      <c r="AW49" s="577"/>
      <c r="AX49" s="577"/>
      <c r="AY49" s="577"/>
      <c r="AZ49" s="577"/>
    </row>
    <row r="50" spans="1:52" ht="15.75" customHeight="1" x14ac:dyDescent="0.2">
      <c r="A50" s="577"/>
      <c r="B50" s="577"/>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577"/>
      <c r="AJ50" s="577"/>
      <c r="AK50" s="577"/>
      <c r="AL50" s="577"/>
      <c r="AM50" s="577"/>
      <c r="AN50" s="577"/>
      <c r="AO50" s="577"/>
      <c r="AP50" s="577"/>
      <c r="AQ50" s="577"/>
      <c r="AR50" s="577"/>
      <c r="AS50" s="577"/>
      <c r="AT50" s="577"/>
      <c r="AU50" s="577"/>
      <c r="AV50" s="577"/>
      <c r="AW50" s="577"/>
      <c r="AX50" s="577"/>
      <c r="AY50" s="577"/>
      <c r="AZ50" s="577"/>
    </row>
    <row r="51" spans="1:52" ht="15.75" customHeight="1" x14ac:dyDescent="0.2">
      <c r="A51" s="577"/>
      <c r="B51" s="577"/>
      <c r="C51" s="577"/>
      <c r="D51" s="577"/>
      <c r="E51" s="577"/>
      <c r="F51" s="577"/>
      <c r="G51" s="577"/>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c r="AK51" s="577"/>
      <c r="AL51" s="577"/>
      <c r="AM51" s="577"/>
      <c r="AN51" s="577"/>
      <c r="AO51" s="577"/>
      <c r="AP51" s="577"/>
      <c r="AQ51" s="577"/>
      <c r="AR51" s="577"/>
      <c r="AS51" s="577"/>
      <c r="AT51" s="577"/>
      <c r="AU51" s="577"/>
      <c r="AV51" s="577"/>
      <c r="AW51" s="577"/>
      <c r="AX51" s="577"/>
      <c r="AY51" s="577"/>
      <c r="AZ51" s="577"/>
    </row>
    <row r="52" spans="1:52" ht="15.75" customHeight="1" x14ac:dyDescent="0.2">
      <c r="A52" s="577"/>
      <c r="B52" s="577"/>
      <c r="C52" s="577"/>
      <c r="D52" s="577"/>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c r="AK52" s="577"/>
      <c r="AL52" s="577"/>
      <c r="AM52" s="577"/>
      <c r="AN52" s="577"/>
      <c r="AO52" s="577"/>
      <c r="AP52" s="577"/>
      <c r="AQ52" s="577"/>
      <c r="AR52" s="577"/>
      <c r="AS52" s="577"/>
      <c r="AT52" s="577"/>
      <c r="AU52" s="577"/>
      <c r="AV52" s="577"/>
      <c r="AW52" s="577"/>
      <c r="AX52" s="577"/>
      <c r="AY52" s="577"/>
      <c r="AZ52" s="577"/>
    </row>
    <row r="53" spans="1:52" ht="15.75" customHeight="1" x14ac:dyDescent="0.2">
      <c r="A53" s="577"/>
      <c r="B53" s="577"/>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577"/>
      <c r="AO53" s="577"/>
      <c r="AP53" s="577"/>
      <c r="AQ53" s="577"/>
      <c r="AR53" s="577"/>
      <c r="AS53" s="577"/>
      <c r="AT53" s="577"/>
      <c r="AU53" s="577"/>
      <c r="AV53" s="577"/>
      <c r="AW53" s="577"/>
      <c r="AX53" s="577"/>
      <c r="AY53" s="577"/>
      <c r="AZ53" s="577"/>
    </row>
    <row r="54" spans="1:52" ht="15.75" customHeight="1" x14ac:dyDescent="0.2">
      <c r="A54" s="577"/>
      <c r="B54" s="577"/>
      <c r="C54" s="577"/>
      <c r="D54" s="577"/>
      <c r="E54" s="577"/>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577"/>
      <c r="AO54" s="577"/>
      <c r="AP54" s="577"/>
      <c r="AQ54" s="577"/>
      <c r="AR54" s="577"/>
      <c r="AS54" s="577"/>
      <c r="AT54" s="577"/>
      <c r="AU54" s="577"/>
      <c r="AV54" s="577"/>
      <c r="AW54" s="577"/>
      <c r="AX54" s="577"/>
      <c r="AY54" s="577"/>
      <c r="AZ54" s="577"/>
    </row>
    <row r="55" spans="1:52" ht="15.75" customHeight="1" x14ac:dyDescent="0.2">
      <c r="A55" s="577"/>
      <c r="B55" s="577"/>
      <c r="C55" s="577"/>
      <c r="D55" s="577"/>
      <c r="E55" s="577"/>
      <c r="F55" s="577"/>
      <c r="G55" s="577"/>
      <c r="H55" s="577"/>
      <c r="I55" s="577"/>
      <c r="J55" s="577"/>
      <c r="K55" s="577"/>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c r="AO55" s="577"/>
      <c r="AP55" s="577"/>
      <c r="AQ55" s="577"/>
      <c r="AR55" s="577"/>
      <c r="AS55" s="577"/>
      <c r="AT55" s="577"/>
      <c r="AU55" s="577"/>
      <c r="AV55" s="577"/>
      <c r="AW55" s="577"/>
      <c r="AX55" s="577"/>
      <c r="AY55" s="577"/>
      <c r="AZ55" s="577"/>
    </row>
    <row r="56" spans="1:52" ht="15.75" customHeight="1" x14ac:dyDescent="0.2">
      <c r="A56" s="577"/>
      <c r="B56" s="577"/>
      <c r="C56" s="577"/>
      <c r="D56" s="577"/>
      <c r="E56" s="577"/>
      <c r="F56" s="577"/>
      <c r="G56" s="577"/>
      <c r="H56" s="577"/>
      <c r="I56" s="577"/>
      <c r="J56" s="577"/>
      <c r="K56" s="577"/>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c r="AO56" s="577"/>
      <c r="AP56" s="577"/>
      <c r="AQ56" s="577"/>
      <c r="AR56" s="577"/>
      <c r="AS56" s="577"/>
      <c r="AT56" s="577"/>
      <c r="AU56" s="577"/>
      <c r="AV56" s="577"/>
      <c r="AW56" s="577"/>
      <c r="AX56" s="577"/>
      <c r="AY56" s="577"/>
      <c r="AZ56" s="577"/>
    </row>
    <row r="57" spans="1:52" ht="15.75" customHeight="1" x14ac:dyDescent="0.2">
      <c r="A57" s="577"/>
      <c r="B57" s="577"/>
      <c r="C57" s="577"/>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c r="AO57" s="577"/>
      <c r="AP57" s="577"/>
      <c r="AQ57" s="577"/>
      <c r="AR57" s="577"/>
      <c r="AS57" s="577"/>
      <c r="AT57" s="577"/>
      <c r="AU57" s="577"/>
      <c r="AV57" s="577"/>
      <c r="AW57" s="577"/>
      <c r="AX57" s="577"/>
      <c r="AY57" s="577"/>
      <c r="AZ57" s="577"/>
    </row>
    <row r="58" spans="1:52" ht="15.75" customHeight="1" x14ac:dyDescent="0.2">
      <c r="A58" s="577"/>
      <c r="B58" s="577"/>
      <c r="C58" s="577"/>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c r="AO58" s="577"/>
      <c r="AP58" s="577"/>
      <c r="AQ58" s="577"/>
      <c r="AR58" s="577"/>
      <c r="AS58" s="577"/>
      <c r="AT58" s="577"/>
      <c r="AU58" s="577"/>
      <c r="AV58" s="577"/>
      <c r="AW58" s="577"/>
      <c r="AX58" s="577"/>
      <c r="AY58" s="577"/>
      <c r="AZ58" s="577"/>
    </row>
    <row r="59" spans="1:52" ht="15.75" customHeight="1" x14ac:dyDescent="0.2">
      <c r="A59" s="577"/>
      <c r="B59" s="577"/>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c r="AO59" s="577"/>
      <c r="AP59" s="577"/>
      <c r="AQ59" s="577"/>
      <c r="AR59" s="577"/>
      <c r="AS59" s="577"/>
      <c r="AT59" s="577"/>
      <c r="AU59" s="577"/>
      <c r="AV59" s="577"/>
      <c r="AW59" s="577"/>
      <c r="AX59" s="577"/>
      <c r="AY59" s="577"/>
      <c r="AZ59" s="577"/>
    </row>
    <row r="60" spans="1:52" ht="15.75" customHeight="1" x14ac:dyDescent="0.2">
      <c r="A60" s="577"/>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7"/>
      <c r="AY60" s="577"/>
      <c r="AZ60" s="577"/>
    </row>
    <row r="61" spans="1:52" ht="15.75" customHeight="1" x14ac:dyDescent="0.2">
      <c r="A61" s="577"/>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7"/>
      <c r="AY61" s="577"/>
      <c r="AZ61" s="577"/>
    </row>
    <row r="62" spans="1:52" ht="15.75" customHeight="1" x14ac:dyDescent="0.2">
      <c r="A62" s="577"/>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7"/>
      <c r="AY62" s="577"/>
      <c r="AZ62" s="577"/>
    </row>
    <row r="63" spans="1:52" ht="15.75" customHeight="1" x14ac:dyDescent="0.2">
      <c r="A63" s="577"/>
      <c r="B63" s="577"/>
      <c r="C63" s="577"/>
      <c r="D63" s="577"/>
      <c r="E63" s="577"/>
      <c r="F63" s="577"/>
      <c r="G63" s="577"/>
      <c r="H63" s="577"/>
      <c r="I63" s="577"/>
      <c r="J63" s="577"/>
      <c r="K63" s="577"/>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c r="AO63" s="577"/>
      <c r="AP63" s="577"/>
      <c r="AQ63" s="577"/>
      <c r="AR63" s="577"/>
      <c r="AS63" s="577"/>
      <c r="AT63" s="577"/>
      <c r="AU63" s="577"/>
      <c r="AV63" s="577"/>
      <c r="AW63" s="577"/>
      <c r="AX63" s="577"/>
      <c r="AY63" s="577"/>
      <c r="AZ63" s="577"/>
    </row>
    <row r="64" spans="1:52" ht="15.75" customHeight="1" x14ac:dyDescent="0.2">
      <c r="A64" s="577"/>
      <c r="B64" s="577"/>
      <c r="C64" s="577"/>
      <c r="D64" s="577"/>
      <c r="E64" s="577"/>
      <c r="F64" s="577"/>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c r="AO64" s="577"/>
      <c r="AP64" s="577"/>
      <c r="AQ64" s="577"/>
      <c r="AR64" s="577"/>
      <c r="AS64" s="577"/>
      <c r="AT64" s="577"/>
      <c r="AU64" s="577"/>
      <c r="AV64" s="577"/>
      <c r="AW64" s="577"/>
      <c r="AX64" s="577"/>
      <c r="AY64" s="577"/>
      <c r="AZ64" s="577"/>
    </row>
    <row r="65" spans="1:52" ht="15.75" customHeight="1" x14ac:dyDescent="0.2">
      <c r="A65" s="577"/>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c r="AO65" s="577"/>
      <c r="AP65" s="577"/>
      <c r="AQ65" s="577"/>
      <c r="AR65" s="577"/>
      <c r="AS65" s="577"/>
      <c r="AT65" s="577"/>
      <c r="AU65" s="577"/>
      <c r="AV65" s="577"/>
      <c r="AW65" s="577"/>
      <c r="AX65" s="577"/>
      <c r="AY65" s="577"/>
      <c r="AZ65" s="577"/>
    </row>
    <row r="66" spans="1:52" ht="15.75" customHeight="1" x14ac:dyDescent="0.2">
      <c r="A66" s="577"/>
      <c r="B66" s="577"/>
      <c r="C66" s="577"/>
      <c r="D66" s="577"/>
      <c r="E66" s="577"/>
      <c r="F66" s="577"/>
      <c r="G66" s="577"/>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c r="AO66" s="577"/>
      <c r="AP66" s="577"/>
      <c r="AQ66" s="577"/>
      <c r="AR66" s="577"/>
      <c r="AS66" s="577"/>
      <c r="AT66" s="577"/>
      <c r="AU66" s="577"/>
      <c r="AV66" s="577"/>
      <c r="AW66" s="577"/>
      <c r="AX66" s="577"/>
      <c r="AY66" s="577"/>
      <c r="AZ66" s="577"/>
    </row>
    <row r="67" spans="1:52" ht="15.75" customHeight="1" x14ac:dyDescent="0.2">
      <c r="A67" s="577"/>
      <c r="B67" s="577"/>
      <c r="C67" s="577"/>
      <c r="D67" s="577"/>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c r="AO67" s="577"/>
      <c r="AP67" s="577"/>
      <c r="AQ67" s="577"/>
      <c r="AR67" s="577"/>
      <c r="AS67" s="577"/>
      <c r="AT67" s="577"/>
      <c r="AU67" s="577"/>
      <c r="AV67" s="577"/>
      <c r="AW67" s="577"/>
      <c r="AX67" s="577"/>
      <c r="AY67" s="577"/>
      <c r="AZ67" s="577"/>
    </row>
    <row r="68" spans="1:52" ht="15.75" customHeight="1" x14ac:dyDescent="0.2">
      <c r="A68" s="577"/>
      <c r="B68" s="577"/>
      <c r="C68" s="577"/>
      <c r="D68" s="577"/>
      <c r="E68" s="577"/>
      <c r="F68" s="577"/>
      <c r="G68" s="577"/>
      <c r="H68" s="577"/>
      <c r="I68" s="577"/>
      <c r="J68" s="577"/>
      <c r="K68" s="577"/>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c r="AS68" s="577"/>
      <c r="AT68" s="577"/>
      <c r="AU68" s="577"/>
      <c r="AV68" s="577"/>
      <c r="AW68" s="577"/>
      <c r="AX68" s="577"/>
      <c r="AY68" s="577"/>
      <c r="AZ68" s="577"/>
    </row>
    <row r="69" spans="1:52" ht="15.75" customHeight="1" x14ac:dyDescent="0.2">
      <c r="A69" s="577"/>
      <c r="B69" s="577"/>
      <c r="C69" s="577"/>
      <c r="D69" s="577"/>
      <c r="E69" s="577"/>
      <c r="F69" s="577"/>
      <c r="G69" s="577"/>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c r="AO69" s="577"/>
      <c r="AP69" s="577"/>
      <c r="AQ69" s="577"/>
      <c r="AR69" s="577"/>
      <c r="AS69" s="577"/>
      <c r="AT69" s="577"/>
      <c r="AU69" s="577"/>
      <c r="AV69" s="577"/>
      <c r="AW69" s="577"/>
      <c r="AX69" s="577"/>
      <c r="AY69" s="577"/>
      <c r="AZ69" s="577"/>
    </row>
    <row r="70" spans="1:52" ht="15.75" customHeight="1" x14ac:dyDescent="0.2">
      <c r="A70" s="577"/>
      <c r="B70" s="577"/>
      <c r="C70" s="577"/>
      <c r="D70" s="577"/>
      <c r="E70" s="577"/>
      <c r="F70" s="577"/>
      <c r="G70" s="577"/>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c r="AS70" s="577"/>
      <c r="AT70" s="577"/>
      <c r="AU70" s="577"/>
      <c r="AV70" s="577"/>
      <c r="AW70" s="577"/>
      <c r="AX70" s="577"/>
      <c r="AY70" s="577"/>
      <c r="AZ70" s="577"/>
    </row>
    <row r="71" spans="1:52" ht="15.75" customHeight="1" x14ac:dyDescent="0.2">
      <c r="A71" s="577"/>
      <c r="B71" s="577"/>
      <c r="C71" s="577"/>
      <c r="D71" s="577"/>
      <c r="E71" s="577"/>
      <c r="F71" s="577"/>
      <c r="G71" s="577"/>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c r="AO71" s="577"/>
      <c r="AP71" s="577"/>
      <c r="AQ71" s="577"/>
      <c r="AR71" s="577"/>
      <c r="AS71" s="577"/>
      <c r="AT71" s="577"/>
      <c r="AU71" s="577"/>
      <c r="AV71" s="577"/>
      <c r="AW71" s="577"/>
      <c r="AX71" s="577"/>
      <c r="AY71" s="577"/>
      <c r="AZ71" s="577"/>
    </row>
    <row r="72" spans="1:52" ht="15.75" customHeight="1" x14ac:dyDescent="0.2">
      <c r="A72" s="577"/>
      <c r="B72" s="577"/>
      <c r="C72" s="577"/>
      <c r="D72" s="577"/>
      <c r="E72" s="577"/>
      <c r="F72" s="577"/>
      <c r="G72" s="577"/>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c r="AO72" s="577"/>
      <c r="AP72" s="577"/>
      <c r="AQ72" s="577"/>
      <c r="AR72" s="577"/>
      <c r="AS72" s="577"/>
      <c r="AT72" s="577"/>
      <c r="AU72" s="577"/>
      <c r="AV72" s="577"/>
      <c r="AW72" s="577"/>
      <c r="AX72" s="577"/>
      <c r="AY72" s="577"/>
      <c r="AZ72" s="577"/>
    </row>
    <row r="73" spans="1:52" ht="15.75" customHeight="1" x14ac:dyDescent="0.2">
      <c r="A73" s="577"/>
      <c r="B73" s="577"/>
      <c r="C73" s="577"/>
      <c r="D73" s="577"/>
      <c r="E73" s="577"/>
      <c r="F73" s="577"/>
      <c r="G73" s="577"/>
      <c r="H73" s="577"/>
      <c r="I73" s="577"/>
      <c r="J73" s="577"/>
      <c r="K73" s="577"/>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c r="AO73" s="577"/>
      <c r="AP73" s="577"/>
      <c r="AQ73" s="577"/>
      <c r="AR73" s="577"/>
      <c r="AS73" s="577"/>
      <c r="AT73" s="577"/>
      <c r="AU73" s="577"/>
      <c r="AV73" s="577"/>
      <c r="AW73" s="577"/>
      <c r="AX73" s="577"/>
      <c r="AY73" s="577"/>
      <c r="AZ73" s="577"/>
    </row>
    <row r="74" spans="1:52" ht="15.75" customHeight="1" x14ac:dyDescent="0.2">
      <c r="A74" s="577"/>
      <c r="B74" s="577"/>
      <c r="C74" s="577"/>
      <c r="D74" s="577"/>
      <c r="E74" s="577"/>
      <c r="F74" s="577"/>
      <c r="G74" s="577"/>
      <c r="H74" s="577"/>
      <c r="I74" s="577"/>
      <c r="J74" s="577"/>
      <c r="K74" s="577"/>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c r="AO74" s="577"/>
      <c r="AP74" s="577"/>
      <c r="AQ74" s="577"/>
      <c r="AR74" s="577"/>
      <c r="AS74" s="577"/>
      <c r="AT74" s="577"/>
      <c r="AU74" s="577"/>
      <c r="AV74" s="577"/>
      <c r="AW74" s="577"/>
      <c r="AX74" s="577"/>
      <c r="AY74" s="577"/>
      <c r="AZ74" s="577"/>
    </row>
    <row r="75" spans="1:52" ht="15.75" customHeight="1" x14ac:dyDescent="0.2">
      <c r="A75" s="577"/>
      <c r="B75" s="577"/>
      <c r="C75" s="577"/>
      <c r="D75" s="577"/>
      <c r="E75" s="577"/>
      <c r="F75" s="577"/>
      <c r="G75" s="577"/>
      <c r="H75" s="577"/>
      <c r="I75" s="577"/>
      <c r="J75" s="577"/>
      <c r="K75" s="577"/>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c r="AO75" s="577"/>
      <c r="AP75" s="577"/>
      <c r="AQ75" s="577"/>
      <c r="AR75" s="577"/>
      <c r="AS75" s="577"/>
      <c r="AT75" s="577"/>
      <c r="AU75" s="577"/>
      <c r="AV75" s="577"/>
      <c r="AW75" s="577"/>
      <c r="AX75" s="577"/>
      <c r="AY75" s="577"/>
      <c r="AZ75" s="577"/>
    </row>
    <row r="76" spans="1:52" ht="15.75" customHeight="1" x14ac:dyDescent="0.2">
      <c r="A76" s="577"/>
      <c r="B76" s="577"/>
      <c r="C76" s="577"/>
      <c r="D76" s="577"/>
      <c r="E76" s="577"/>
      <c r="F76" s="577"/>
      <c r="G76" s="577"/>
      <c r="H76" s="577"/>
      <c r="I76" s="577"/>
      <c r="J76" s="577"/>
      <c r="K76" s="577"/>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c r="AO76" s="577"/>
      <c r="AP76" s="577"/>
      <c r="AQ76" s="577"/>
      <c r="AR76" s="577"/>
      <c r="AS76" s="577"/>
      <c r="AT76" s="577"/>
      <c r="AU76" s="577"/>
      <c r="AV76" s="577"/>
      <c r="AW76" s="577"/>
      <c r="AX76" s="577"/>
      <c r="AY76" s="577"/>
      <c r="AZ76" s="577"/>
    </row>
    <row r="77" spans="1:52" ht="15.75" customHeight="1" x14ac:dyDescent="0.2">
      <c r="A77" s="577"/>
      <c r="B77" s="577"/>
      <c r="C77" s="577"/>
      <c r="D77" s="577"/>
      <c r="E77" s="577"/>
      <c r="F77" s="577"/>
      <c r="G77" s="577"/>
      <c r="H77" s="577"/>
      <c r="I77" s="577"/>
      <c r="J77" s="577"/>
      <c r="K77" s="577"/>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77"/>
      <c r="AL77" s="577"/>
      <c r="AM77" s="577"/>
      <c r="AN77" s="577"/>
      <c r="AO77" s="577"/>
      <c r="AP77" s="577"/>
      <c r="AQ77" s="577"/>
      <c r="AR77" s="577"/>
      <c r="AS77" s="577"/>
      <c r="AT77" s="577"/>
      <c r="AU77" s="577"/>
      <c r="AV77" s="577"/>
      <c r="AW77" s="577"/>
      <c r="AX77" s="577"/>
      <c r="AY77" s="577"/>
      <c r="AZ77" s="577"/>
    </row>
    <row r="78" spans="1:52" ht="15.75" customHeight="1" x14ac:dyDescent="0.2">
      <c r="A78" s="577"/>
      <c r="B78" s="577"/>
      <c r="C78" s="577"/>
      <c r="D78" s="577"/>
      <c r="E78" s="577"/>
      <c r="F78" s="577"/>
      <c r="G78" s="577"/>
      <c r="H78" s="577"/>
      <c r="I78" s="577"/>
      <c r="J78" s="577"/>
      <c r="K78" s="577"/>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c r="AO78" s="577"/>
      <c r="AP78" s="577"/>
      <c r="AQ78" s="577"/>
      <c r="AR78" s="577"/>
      <c r="AS78" s="577"/>
      <c r="AT78" s="577"/>
      <c r="AU78" s="577"/>
      <c r="AV78" s="577"/>
      <c r="AW78" s="577"/>
      <c r="AX78" s="577"/>
      <c r="AY78" s="577"/>
      <c r="AZ78" s="577"/>
    </row>
    <row r="79" spans="1:52" ht="15.75" customHeight="1" x14ac:dyDescent="0.2">
      <c r="A79" s="577"/>
      <c r="B79" s="577"/>
      <c r="C79" s="577"/>
      <c r="D79" s="577"/>
      <c r="E79" s="577"/>
      <c r="F79" s="577"/>
      <c r="G79" s="577"/>
      <c r="H79" s="577"/>
      <c r="I79" s="577"/>
      <c r="J79" s="577"/>
      <c r="K79" s="577"/>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c r="AO79" s="577"/>
      <c r="AP79" s="577"/>
      <c r="AQ79" s="577"/>
      <c r="AR79" s="577"/>
      <c r="AS79" s="577"/>
      <c r="AT79" s="577"/>
      <c r="AU79" s="577"/>
      <c r="AV79" s="577"/>
      <c r="AW79" s="577"/>
      <c r="AX79" s="577"/>
      <c r="AY79" s="577"/>
      <c r="AZ79" s="577"/>
    </row>
    <row r="80" spans="1:52" ht="15.75" customHeight="1" x14ac:dyDescent="0.2">
      <c r="A80" s="577"/>
      <c r="B80" s="577"/>
      <c r="C80" s="577"/>
      <c r="D80" s="577"/>
      <c r="E80" s="577"/>
      <c r="F80" s="577"/>
      <c r="G80" s="577"/>
      <c r="H80" s="577"/>
      <c r="I80" s="577"/>
      <c r="J80" s="577"/>
      <c r="K80" s="577"/>
      <c r="L80" s="577"/>
      <c r="M80" s="577"/>
      <c r="N80" s="577"/>
      <c r="O80" s="577"/>
      <c r="P80" s="577"/>
      <c r="Q80" s="577"/>
      <c r="R80" s="577"/>
      <c r="S80" s="577"/>
      <c r="T80" s="577"/>
      <c r="U80" s="577"/>
      <c r="V80" s="577"/>
      <c r="W80" s="577"/>
      <c r="X80" s="577"/>
      <c r="Y80" s="577"/>
      <c r="Z80" s="577"/>
      <c r="AA80" s="577"/>
      <c r="AB80" s="577"/>
      <c r="AC80" s="577"/>
      <c r="AD80" s="577"/>
      <c r="AE80" s="577"/>
      <c r="AF80" s="577"/>
      <c r="AG80" s="577"/>
      <c r="AH80" s="577"/>
      <c r="AI80" s="577"/>
      <c r="AJ80" s="577"/>
      <c r="AK80" s="577"/>
      <c r="AL80" s="577"/>
      <c r="AM80" s="577"/>
      <c r="AN80" s="577"/>
      <c r="AO80" s="577"/>
      <c r="AP80" s="577"/>
      <c r="AQ80" s="577"/>
      <c r="AR80" s="577"/>
      <c r="AS80" s="577"/>
      <c r="AT80" s="577"/>
      <c r="AU80" s="577"/>
      <c r="AV80" s="577"/>
      <c r="AW80" s="577"/>
      <c r="AX80" s="577"/>
      <c r="AY80" s="577"/>
      <c r="AZ80" s="577"/>
    </row>
    <row r="81" spans="1:52" ht="15.75" customHeight="1" x14ac:dyDescent="0.2">
      <c r="A81" s="577"/>
      <c r="B81" s="577"/>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7"/>
      <c r="AY81" s="577"/>
      <c r="AZ81" s="577"/>
    </row>
    <row r="82" spans="1:52" ht="15.75" customHeight="1" x14ac:dyDescent="0.2">
      <c r="A82" s="577"/>
      <c r="B82" s="577"/>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c r="AO82" s="577"/>
      <c r="AP82" s="577"/>
      <c r="AQ82" s="577"/>
      <c r="AR82" s="577"/>
      <c r="AS82" s="577"/>
      <c r="AT82" s="577"/>
      <c r="AU82" s="577"/>
      <c r="AV82" s="577"/>
      <c r="AW82" s="577"/>
      <c r="AX82" s="577"/>
      <c r="AY82" s="577"/>
      <c r="AZ82" s="577"/>
    </row>
    <row r="83" spans="1:52" ht="15.75" customHeight="1" x14ac:dyDescent="0.2">
      <c r="A83" s="577"/>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c r="AO83" s="577"/>
      <c r="AP83" s="577"/>
      <c r="AQ83" s="577"/>
      <c r="AR83" s="577"/>
      <c r="AS83" s="577"/>
      <c r="AT83" s="577"/>
      <c r="AU83" s="577"/>
      <c r="AV83" s="577"/>
      <c r="AW83" s="577"/>
      <c r="AX83" s="577"/>
      <c r="AY83" s="577"/>
      <c r="AZ83" s="577"/>
    </row>
    <row r="84" spans="1:52" ht="15.75" customHeight="1" x14ac:dyDescent="0.2">
      <c r="A84" s="577"/>
      <c r="B84" s="577"/>
      <c r="C84" s="577"/>
      <c r="D84" s="577"/>
      <c r="E84" s="577"/>
      <c r="F84" s="577"/>
      <c r="G84" s="577"/>
      <c r="H84" s="577"/>
      <c r="I84" s="577"/>
      <c r="J84" s="577"/>
      <c r="K84" s="577"/>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c r="AO84" s="577"/>
      <c r="AP84" s="577"/>
      <c r="AQ84" s="577"/>
      <c r="AR84" s="577"/>
      <c r="AS84" s="577"/>
      <c r="AT84" s="577"/>
      <c r="AU84" s="577"/>
      <c r="AV84" s="577"/>
      <c r="AW84" s="577"/>
      <c r="AX84" s="577"/>
      <c r="AY84" s="577"/>
      <c r="AZ84" s="577"/>
    </row>
    <row r="85" spans="1:52" ht="15.75" customHeight="1" x14ac:dyDescent="0.2">
      <c r="A85" s="577"/>
      <c r="B85" s="577"/>
      <c r="C85" s="577"/>
      <c r="D85" s="577"/>
      <c r="E85" s="577"/>
      <c r="F85" s="577"/>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c r="AO85" s="577"/>
      <c r="AP85" s="577"/>
      <c r="AQ85" s="577"/>
      <c r="AR85" s="577"/>
      <c r="AS85" s="577"/>
      <c r="AT85" s="577"/>
      <c r="AU85" s="577"/>
      <c r="AV85" s="577"/>
      <c r="AW85" s="577"/>
      <c r="AX85" s="577"/>
      <c r="AY85" s="577"/>
      <c r="AZ85" s="577"/>
    </row>
    <row r="86" spans="1:52" ht="15.75" customHeight="1" x14ac:dyDescent="0.2">
      <c r="A86" s="577"/>
      <c r="B86" s="577"/>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577"/>
      <c r="AY86" s="577"/>
      <c r="AZ86" s="577"/>
    </row>
    <row r="87" spans="1:52" ht="15.75" customHeight="1" x14ac:dyDescent="0.2">
      <c r="A87" s="577"/>
      <c r="B87" s="577"/>
      <c r="C87" s="577"/>
      <c r="D87" s="577"/>
      <c r="E87" s="577"/>
      <c r="F87" s="577"/>
      <c r="G87" s="577"/>
      <c r="H87" s="577"/>
      <c r="I87" s="577"/>
      <c r="J87" s="577"/>
      <c r="K87" s="577"/>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c r="AO87" s="577"/>
      <c r="AP87" s="577"/>
      <c r="AQ87" s="577"/>
      <c r="AR87" s="577"/>
      <c r="AS87" s="577"/>
      <c r="AT87" s="577"/>
      <c r="AU87" s="577"/>
      <c r="AV87" s="577"/>
      <c r="AW87" s="577"/>
      <c r="AX87" s="577"/>
      <c r="AY87" s="577"/>
      <c r="AZ87" s="577"/>
    </row>
    <row r="88" spans="1:52" ht="15.75" customHeight="1" x14ac:dyDescent="0.2">
      <c r="A88" s="577"/>
      <c r="B88" s="577"/>
      <c r="C88" s="577"/>
      <c r="D88" s="577"/>
      <c r="E88" s="577"/>
      <c r="F88" s="577"/>
      <c r="G88" s="577"/>
      <c r="H88" s="577"/>
      <c r="I88" s="577"/>
      <c r="J88" s="577"/>
      <c r="K88" s="577"/>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c r="AO88" s="577"/>
      <c r="AP88" s="577"/>
      <c r="AQ88" s="577"/>
      <c r="AR88" s="577"/>
      <c r="AS88" s="577"/>
      <c r="AT88" s="577"/>
      <c r="AU88" s="577"/>
      <c r="AV88" s="577"/>
      <c r="AW88" s="577"/>
      <c r="AX88" s="577"/>
      <c r="AY88" s="577"/>
      <c r="AZ88" s="577"/>
    </row>
    <row r="89" spans="1:52" ht="15.75" customHeight="1" x14ac:dyDescent="0.2">
      <c r="A89" s="577"/>
      <c r="B89" s="577"/>
      <c r="C89" s="577"/>
      <c r="D89" s="577"/>
      <c r="E89" s="577"/>
      <c r="F89" s="577"/>
      <c r="G89" s="577"/>
      <c r="H89" s="577"/>
      <c r="I89" s="577"/>
      <c r="J89" s="577"/>
      <c r="K89" s="577"/>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c r="AO89" s="577"/>
      <c r="AP89" s="577"/>
      <c r="AQ89" s="577"/>
      <c r="AR89" s="577"/>
      <c r="AS89" s="577"/>
      <c r="AT89" s="577"/>
      <c r="AU89" s="577"/>
      <c r="AV89" s="577"/>
      <c r="AW89" s="577"/>
      <c r="AX89" s="577"/>
      <c r="AY89" s="577"/>
      <c r="AZ89" s="577"/>
    </row>
    <row r="90" spans="1:52" ht="15.75" customHeight="1" x14ac:dyDescent="0.2">
      <c r="A90" s="577"/>
      <c r="B90" s="577"/>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c r="AO90" s="577"/>
      <c r="AP90" s="577"/>
      <c r="AQ90" s="577"/>
      <c r="AR90" s="577"/>
      <c r="AS90" s="577"/>
      <c r="AT90" s="577"/>
      <c r="AU90" s="577"/>
      <c r="AV90" s="577"/>
      <c r="AW90" s="577"/>
      <c r="AX90" s="577"/>
      <c r="AY90" s="577"/>
      <c r="AZ90" s="577"/>
    </row>
    <row r="91" spans="1:52" ht="15.75" customHeight="1" x14ac:dyDescent="0.2">
      <c r="A91" s="577"/>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c r="AO91" s="577"/>
      <c r="AP91" s="577"/>
      <c r="AQ91" s="577"/>
      <c r="AR91" s="577"/>
      <c r="AS91" s="577"/>
      <c r="AT91" s="577"/>
      <c r="AU91" s="577"/>
      <c r="AV91" s="577"/>
      <c r="AW91" s="577"/>
      <c r="AX91" s="577"/>
      <c r="AY91" s="577"/>
      <c r="AZ91" s="577"/>
    </row>
    <row r="92" spans="1:52" ht="15.75" customHeight="1" x14ac:dyDescent="0.2">
      <c r="A92" s="577"/>
      <c r="B92" s="577"/>
      <c r="C92" s="577"/>
      <c r="D92" s="577"/>
      <c r="E92" s="577"/>
      <c r="F92" s="577"/>
      <c r="G92" s="577"/>
      <c r="H92" s="577"/>
      <c r="I92" s="577"/>
      <c r="J92" s="577"/>
      <c r="K92" s="577"/>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c r="AO92" s="577"/>
      <c r="AP92" s="577"/>
      <c r="AQ92" s="577"/>
      <c r="AR92" s="577"/>
      <c r="AS92" s="577"/>
      <c r="AT92" s="577"/>
      <c r="AU92" s="577"/>
      <c r="AV92" s="577"/>
      <c r="AW92" s="577"/>
      <c r="AX92" s="577"/>
      <c r="AY92" s="577"/>
      <c r="AZ92" s="577"/>
    </row>
    <row r="93" spans="1:52" ht="15.75" customHeight="1" x14ac:dyDescent="0.2">
      <c r="A93" s="577"/>
      <c r="B93" s="577"/>
      <c r="C93" s="577"/>
      <c r="D93" s="577"/>
      <c r="E93" s="577"/>
      <c r="F93" s="577"/>
      <c r="G93" s="577"/>
      <c r="H93" s="577"/>
      <c r="I93" s="577"/>
      <c r="J93" s="577"/>
      <c r="K93" s="577"/>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c r="AO93" s="577"/>
      <c r="AP93" s="577"/>
      <c r="AQ93" s="577"/>
      <c r="AR93" s="577"/>
      <c r="AS93" s="577"/>
      <c r="AT93" s="577"/>
      <c r="AU93" s="577"/>
      <c r="AV93" s="577"/>
      <c r="AW93" s="577"/>
      <c r="AX93" s="577"/>
      <c r="AY93" s="577"/>
      <c r="AZ93" s="577"/>
    </row>
    <row r="94" spans="1:52" ht="15.75" customHeight="1" x14ac:dyDescent="0.2">
      <c r="A94" s="577"/>
      <c r="B94" s="577"/>
      <c r="C94" s="577"/>
      <c r="D94" s="577"/>
      <c r="E94" s="577"/>
      <c r="F94" s="577"/>
      <c r="G94" s="577"/>
      <c r="H94" s="577"/>
      <c r="I94" s="577"/>
      <c r="J94" s="577"/>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c r="AO94" s="577"/>
      <c r="AP94" s="577"/>
      <c r="AQ94" s="577"/>
      <c r="AR94" s="577"/>
      <c r="AS94" s="577"/>
      <c r="AT94" s="577"/>
      <c r="AU94" s="577"/>
      <c r="AV94" s="577"/>
      <c r="AW94" s="577"/>
      <c r="AX94" s="577"/>
      <c r="AY94" s="577"/>
      <c r="AZ94" s="577"/>
    </row>
    <row r="95" spans="1:52" ht="15.75" customHeight="1" x14ac:dyDescent="0.2">
      <c r="A95" s="577"/>
      <c r="B95" s="577"/>
      <c r="C95" s="577"/>
      <c r="D95" s="577"/>
      <c r="E95" s="577"/>
      <c r="F95" s="577"/>
      <c r="G95" s="577"/>
      <c r="H95" s="577"/>
      <c r="I95" s="577"/>
      <c r="J95" s="577"/>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c r="AO95" s="577"/>
      <c r="AP95" s="577"/>
      <c r="AQ95" s="577"/>
      <c r="AR95" s="577"/>
      <c r="AS95" s="577"/>
      <c r="AT95" s="577"/>
      <c r="AU95" s="577"/>
      <c r="AV95" s="577"/>
      <c r="AW95" s="577"/>
      <c r="AX95" s="577"/>
      <c r="AY95" s="577"/>
      <c r="AZ95" s="577"/>
    </row>
    <row r="96" spans="1:52" ht="15.75" customHeight="1" x14ac:dyDescent="0.2">
      <c r="A96" s="577"/>
      <c r="B96" s="577"/>
      <c r="C96" s="577"/>
      <c r="D96" s="577"/>
      <c r="E96" s="577"/>
      <c r="F96" s="577"/>
      <c r="G96" s="577"/>
      <c r="H96" s="577"/>
      <c r="I96" s="577"/>
      <c r="J96" s="577"/>
      <c r="K96" s="577"/>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c r="AO96" s="577"/>
      <c r="AP96" s="577"/>
      <c r="AQ96" s="577"/>
      <c r="AR96" s="577"/>
      <c r="AS96" s="577"/>
      <c r="AT96" s="577"/>
      <c r="AU96" s="577"/>
      <c r="AV96" s="577"/>
      <c r="AW96" s="577"/>
      <c r="AX96" s="577"/>
      <c r="AY96" s="577"/>
      <c r="AZ96" s="577"/>
    </row>
    <row r="97" spans="1:52" ht="15.75" customHeight="1" x14ac:dyDescent="0.2">
      <c r="A97" s="577"/>
      <c r="B97" s="577"/>
      <c r="C97" s="577"/>
      <c r="D97" s="577"/>
      <c r="E97" s="577"/>
      <c r="F97" s="577"/>
      <c r="G97" s="577"/>
      <c r="H97" s="577"/>
      <c r="I97" s="577"/>
      <c r="J97" s="577"/>
      <c r="K97" s="577"/>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c r="AO97" s="577"/>
      <c r="AP97" s="577"/>
      <c r="AQ97" s="577"/>
      <c r="AR97" s="577"/>
      <c r="AS97" s="577"/>
      <c r="AT97" s="577"/>
      <c r="AU97" s="577"/>
      <c r="AV97" s="577"/>
      <c r="AW97" s="577"/>
      <c r="AX97" s="577"/>
      <c r="AY97" s="577"/>
      <c r="AZ97" s="577"/>
    </row>
    <row r="98" spans="1:52" ht="15.75" customHeight="1" x14ac:dyDescent="0.2">
      <c r="A98" s="577"/>
      <c r="B98" s="577"/>
      <c r="C98" s="577"/>
      <c r="D98" s="577"/>
      <c r="E98" s="577"/>
      <c r="F98" s="577"/>
      <c r="G98" s="577"/>
      <c r="H98" s="577"/>
      <c r="I98" s="577"/>
      <c r="J98" s="577"/>
      <c r="K98" s="577"/>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c r="AO98" s="577"/>
      <c r="AP98" s="577"/>
      <c r="AQ98" s="577"/>
      <c r="AR98" s="577"/>
      <c r="AS98" s="577"/>
      <c r="AT98" s="577"/>
      <c r="AU98" s="577"/>
      <c r="AV98" s="577"/>
      <c r="AW98" s="577"/>
      <c r="AX98" s="577"/>
      <c r="AY98" s="577"/>
      <c r="AZ98" s="577"/>
    </row>
    <row r="99" spans="1:52" ht="15.75" customHeight="1" x14ac:dyDescent="0.2">
      <c r="A99" s="577"/>
      <c r="B99" s="577"/>
      <c r="C99" s="577"/>
      <c r="D99" s="577"/>
      <c r="E99" s="577"/>
      <c r="F99" s="577"/>
      <c r="G99" s="577"/>
      <c r="H99" s="577"/>
      <c r="I99" s="577"/>
      <c r="J99" s="577"/>
      <c r="K99" s="577"/>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c r="AO99" s="577"/>
      <c r="AP99" s="577"/>
      <c r="AQ99" s="577"/>
      <c r="AR99" s="577"/>
      <c r="AS99" s="577"/>
      <c r="AT99" s="577"/>
      <c r="AU99" s="577"/>
      <c r="AV99" s="577"/>
      <c r="AW99" s="577"/>
      <c r="AX99" s="577"/>
      <c r="AY99" s="577"/>
      <c r="AZ99" s="577"/>
    </row>
    <row r="100" spans="1:52" ht="15.75" customHeight="1" x14ac:dyDescent="0.2">
      <c r="A100" s="577"/>
      <c r="B100" s="577"/>
      <c r="C100" s="577"/>
      <c r="D100" s="577"/>
      <c r="E100" s="577"/>
      <c r="F100" s="577"/>
      <c r="G100" s="577"/>
      <c r="H100" s="577"/>
      <c r="I100" s="577"/>
      <c r="J100" s="577"/>
      <c r="K100" s="577"/>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c r="AO100" s="577"/>
      <c r="AP100" s="577"/>
      <c r="AQ100" s="577"/>
      <c r="AR100" s="577"/>
      <c r="AS100" s="577"/>
      <c r="AT100" s="577"/>
      <c r="AU100" s="577"/>
      <c r="AV100" s="577"/>
      <c r="AW100" s="577"/>
      <c r="AX100" s="577"/>
      <c r="AY100" s="577"/>
      <c r="AZ100" s="577"/>
    </row>
    <row r="101" spans="1:52" ht="15.75" customHeight="1" x14ac:dyDescent="0.2">
      <c r="A101" s="577"/>
      <c r="B101" s="577"/>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c r="AO101" s="577"/>
      <c r="AP101" s="577"/>
      <c r="AQ101" s="577"/>
      <c r="AR101" s="577"/>
      <c r="AS101" s="577"/>
      <c r="AT101" s="577"/>
      <c r="AU101" s="577"/>
      <c r="AV101" s="577"/>
      <c r="AW101" s="577"/>
      <c r="AX101" s="577"/>
      <c r="AY101" s="577"/>
      <c r="AZ101" s="577"/>
    </row>
    <row r="102" spans="1:52" ht="15.75" customHeight="1" x14ac:dyDescent="0.2">
      <c r="A102" s="577"/>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c r="AO102" s="577"/>
      <c r="AP102" s="577"/>
      <c r="AQ102" s="577"/>
      <c r="AR102" s="577"/>
      <c r="AS102" s="577"/>
      <c r="AT102" s="577"/>
      <c r="AU102" s="577"/>
      <c r="AV102" s="577"/>
      <c r="AW102" s="577"/>
      <c r="AX102" s="577"/>
      <c r="AY102" s="577"/>
      <c r="AZ102" s="577"/>
    </row>
    <row r="103" spans="1:52" ht="15.75" customHeight="1" x14ac:dyDescent="0.2">
      <c r="A103" s="577"/>
      <c r="B103" s="577"/>
      <c r="C103" s="577"/>
      <c r="D103" s="577"/>
      <c r="E103" s="577"/>
      <c r="F103" s="577"/>
      <c r="G103" s="577"/>
      <c r="H103" s="577"/>
      <c r="I103" s="577"/>
      <c r="J103" s="577"/>
      <c r="K103" s="577"/>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c r="AO103" s="577"/>
      <c r="AP103" s="577"/>
      <c r="AQ103" s="577"/>
      <c r="AR103" s="577"/>
      <c r="AS103" s="577"/>
      <c r="AT103" s="577"/>
      <c r="AU103" s="577"/>
      <c r="AV103" s="577"/>
      <c r="AW103" s="577"/>
      <c r="AX103" s="577"/>
      <c r="AY103" s="577"/>
      <c r="AZ103" s="577"/>
    </row>
    <row r="104" spans="1:52" ht="15.75" customHeight="1" x14ac:dyDescent="0.2">
      <c r="A104" s="577"/>
      <c r="B104" s="577"/>
      <c r="C104" s="577"/>
      <c r="D104" s="577"/>
      <c r="E104" s="577"/>
      <c r="F104" s="577"/>
      <c r="G104" s="577"/>
      <c r="H104" s="577"/>
      <c r="I104" s="577"/>
      <c r="J104" s="577"/>
      <c r="K104" s="577"/>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c r="AO104" s="577"/>
      <c r="AP104" s="577"/>
      <c r="AQ104" s="577"/>
      <c r="AR104" s="577"/>
      <c r="AS104" s="577"/>
      <c r="AT104" s="577"/>
      <c r="AU104" s="577"/>
      <c r="AV104" s="577"/>
      <c r="AW104" s="577"/>
      <c r="AX104" s="577"/>
      <c r="AY104" s="577"/>
      <c r="AZ104" s="577"/>
    </row>
    <row r="105" spans="1:52" ht="15.75" customHeight="1" x14ac:dyDescent="0.2">
      <c r="A105" s="577"/>
      <c r="B105" s="577"/>
      <c r="C105" s="577"/>
      <c r="D105" s="577"/>
      <c r="E105" s="577"/>
      <c r="F105" s="577"/>
      <c r="G105" s="577"/>
      <c r="H105" s="577"/>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row>
    <row r="106" spans="1:52" ht="15.75" customHeight="1" x14ac:dyDescent="0.2">
      <c r="A106" s="577"/>
      <c r="B106" s="577"/>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577"/>
      <c r="AY106" s="577"/>
      <c r="AZ106" s="577"/>
    </row>
    <row r="107" spans="1:52" ht="15.75" customHeight="1" x14ac:dyDescent="0.2">
      <c r="A107" s="577"/>
      <c r="B107" s="577"/>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c r="AO107" s="577"/>
      <c r="AP107" s="577"/>
      <c r="AQ107" s="577"/>
      <c r="AR107" s="577"/>
      <c r="AS107" s="577"/>
      <c r="AT107" s="577"/>
      <c r="AU107" s="577"/>
      <c r="AV107" s="577"/>
      <c r="AW107" s="577"/>
      <c r="AX107" s="577"/>
      <c r="AY107" s="577"/>
      <c r="AZ107" s="577"/>
    </row>
    <row r="108" spans="1:52" ht="15.75" customHeight="1" x14ac:dyDescent="0.2">
      <c r="A108" s="577"/>
      <c r="B108" s="577"/>
      <c r="C108" s="577"/>
      <c r="D108" s="577"/>
      <c r="E108" s="577"/>
      <c r="F108" s="577"/>
      <c r="G108" s="577"/>
      <c r="H108" s="577"/>
      <c r="I108" s="577"/>
      <c r="J108" s="577"/>
      <c r="K108" s="577"/>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c r="AS108" s="577"/>
      <c r="AT108" s="577"/>
      <c r="AU108" s="577"/>
      <c r="AV108" s="577"/>
      <c r="AW108" s="577"/>
      <c r="AX108" s="577"/>
      <c r="AY108" s="577"/>
      <c r="AZ108" s="577"/>
    </row>
    <row r="109" spans="1:52" ht="15.75" customHeight="1" x14ac:dyDescent="0.2">
      <c r="A109" s="577"/>
      <c r="B109" s="577"/>
      <c r="C109" s="577"/>
      <c r="D109" s="577"/>
      <c r="E109" s="577"/>
      <c r="F109" s="577"/>
      <c r="G109" s="577"/>
      <c r="H109" s="577"/>
      <c r="I109" s="577"/>
      <c r="J109" s="577"/>
      <c r="K109" s="577"/>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c r="AO109" s="577"/>
      <c r="AP109" s="577"/>
      <c r="AQ109" s="577"/>
      <c r="AR109" s="577"/>
      <c r="AS109" s="577"/>
      <c r="AT109" s="577"/>
      <c r="AU109" s="577"/>
      <c r="AV109" s="577"/>
      <c r="AW109" s="577"/>
      <c r="AX109" s="577"/>
      <c r="AY109" s="577"/>
      <c r="AZ109" s="577"/>
    </row>
    <row r="110" spans="1:52" ht="15.75" customHeight="1" x14ac:dyDescent="0.2">
      <c r="A110" s="577"/>
      <c r="B110" s="577"/>
      <c r="C110" s="577"/>
      <c r="D110" s="577"/>
      <c r="E110" s="577"/>
      <c r="F110" s="577"/>
      <c r="G110" s="577"/>
      <c r="H110" s="577"/>
      <c r="I110" s="577"/>
      <c r="J110" s="577"/>
      <c r="K110" s="577"/>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c r="AO110" s="577"/>
      <c r="AP110" s="577"/>
      <c r="AQ110" s="577"/>
      <c r="AR110" s="577"/>
      <c r="AS110" s="577"/>
      <c r="AT110" s="577"/>
      <c r="AU110" s="577"/>
      <c r="AV110" s="577"/>
      <c r="AW110" s="577"/>
      <c r="AX110" s="577"/>
      <c r="AY110" s="577"/>
      <c r="AZ110" s="577"/>
    </row>
    <row r="111" spans="1:52" ht="15.75" customHeight="1" x14ac:dyDescent="0.2">
      <c r="A111" s="577"/>
      <c r="B111" s="577"/>
      <c r="C111" s="577"/>
      <c r="D111" s="577"/>
      <c r="E111" s="577"/>
      <c r="F111" s="577"/>
      <c r="G111" s="577"/>
      <c r="H111" s="577"/>
      <c r="I111" s="577"/>
      <c r="J111" s="577"/>
      <c r="K111" s="577"/>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c r="AO111" s="577"/>
      <c r="AP111" s="577"/>
      <c r="AQ111" s="577"/>
      <c r="AR111" s="577"/>
      <c r="AS111" s="577"/>
      <c r="AT111" s="577"/>
      <c r="AU111" s="577"/>
      <c r="AV111" s="577"/>
      <c r="AW111" s="577"/>
      <c r="AX111" s="577"/>
      <c r="AY111" s="577"/>
      <c r="AZ111" s="577"/>
    </row>
    <row r="112" spans="1:52" ht="15.75" customHeight="1" x14ac:dyDescent="0.2">
      <c r="A112" s="577"/>
      <c r="B112" s="577"/>
      <c r="C112" s="577"/>
      <c r="D112" s="577"/>
      <c r="E112" s="577"/>
      <c r="F112" s="577"/>
      <c r="G112" s="577"/>
      <c r="H112" s="577"/>
      <c r="I112" s="577"/>
      <c r="J112" s="577"/>
      <c r="K112" s="577"/>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c r="AO112" s="577"/>
      <c r="AP112" s="577"/>
      <c r="AQ112" s="577"/>
      <c r="AR112" s="577"/>
      <c r="AS112" s="577"/>
      <c r="AT112" s="577"/>
      <c r="AU112" s="577"/>
      <c r="AV112" s="577"/>
      <c r="AW112" s="577"/>
      <c r="AX112" s="577"/>
      <c r="AY112" s="577"/>
      <c r="AZ112" s="577"/>
    </row>
    <row r="113" spans="1:52" ht="15.75" customHeight="1" x14ac:dyDescent="0.2">
      <c r="A113" s="577"/>
      <c r="B113" s="577"/>
      <c r="C113" s="577"/>
      <c r="D113" s="577"/>
      <c r="E113" s="577"/>
      <c r="F113" s="577"/>
      <c r="G113" s="577"/>
      <c r="H113" s="577"/>
      <c r="I113" s="577"/>
      <c r="J113" s="577"/>
      <c r="K113" s="577"/>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c r="AO113" s="577"/>
      <c r="AP113" s="577"/>
      <c r="AQ113" s="577"/>
      <c r="AR113" s="577"/>
      <c r="AS113" s="577"/>
      <c r="AT113" s="577"/>
      <c r="AU113" s="577"/>
      <c r="AV113" s="577"/>
      <c r="AW113" s="577"/>
      <c r="AX113" s="577"/>
      <c r="AY113" s="577"/>
      <c r="AZ113" s="577"/>
    </row>
    <row r="114" spans="1:52" ht="15.75" customHeight="1" x14ac:dyDescent="0.2">
      <c r="A114" s="577"/>
      <c r="B114" s="577"/>
      <c r="C114" s="577"/>
      <c r="D114" s="577"/>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c r="AO114" s="577"/>
      <c r="AP114" s="577"/>
      <c r="AQ114" s="577"/>
      <c r="AR114" s="577"/>
      <c r="AS114" s="577"/>
      <c r="AT114" s="577"/>
      <c r="AU114" s="577"/>
      <c r="AV114" s="577"/>
      <c r="AW114" s="577"/>
      <c r="AX114" s="577"/>
      <c r="AY114" s="577"/>
      <c r="AZ114" s="577"/>
    </row>
    <row r="115" spans="1:52" ht="15.75" customHeight="1" x14ac:dyDescent="0.2">
      <c r="A115" s="577"/>
      <c r="B115" s="577"/>
      <c r="C115" s="577"/>
      <c r="D115" s="577"/>
      <c r="E115" s="577"/>
      <c r="F115" s="577"/>
      <c r="G115" s="577"/>
      <c r="H115" s="577"/>
      <c r="I115" s="577"/>
      <c r="J115" s="577"/>
      <c r="K115" s="577"/>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c r="AO115" s="577"/>
      <c r="AP115" s="577"/>
      <c r="AQ115" s="577"/>
      <c r="AR115" s="577"/>
      <c r="AS115" s="577"/>
      <c r="AT115" s="577"/>
      <c r="AU115" s="577"/>
      <c r="AV115" s="577"/>
      <c r="AW115" s="577"/>
      <c r="AX115" s="577"/>
      <c r="AY115" s="577"/>
      <c r="AZ115" s="577"/>
    </row>
    <row r="116" spans="1:52" ht="15.75" customHeight="1" x14ac:dyDescent="0.2">
      <c r="A116" s="577"/>
      <c r="B116" s="577"/>
      <c r="C116" s="577"/>
      <c r="D116" s="577"/>
      <c r="E116" s="577"/>
      <c r="F116" s="577"/>
      <c r="G116" s="577"/>
      <c r="H116" s="577"/>
      <c r="I116" s="577"/>
      <c r="J116" s="577"/>
      <c r="K116" s="577"/>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c r="AO116" s="577"/>
      <c r="AP116" s="577"/>
      <c r="AQ116" s="577"/>
      <c r="AR116" s="577"/>
      <c r="AS116" s="577"/>
      <c r="AT116" s="577"/>
      <c r="AU116" s="577"/>
      <c r="AV116" s="577"/>
      <c r="AW116" s="577"/>
      <c r="AX116" s="577"/>
      <c r="AY116" s="577"/>
      <c r="AZ116" s="577"/>
    </row>
    <row r="117" spans="1:52" ht="15.75" customHeight="1" x14ac:dyDescent="0.2">
      <c r="A117" s="577"/>
      <c r="B117" s="577"/>
      <c r="C117" s="577"/>
      <c r="D117" s="577"/>
      <c r="E117" s="577"/>
      <c r="F117" s="577"/>
      <c r="G117" s="577"/>
      <c r="H117" s="577"/>
      <c r="I117" s="577"/>
      <c r="J117" s="577"/>
      <c r="K117" s="577"/>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c r="AO117" s="577"/>
      <c r="AP117" s="577"/>
      <c r="AQ117" s="577"/>
      <c r="AR117" s="577"/>
      <c r="AS117" s="577"/>
      <c r="AT117" s="577"/>
      <c r="AU117" s="577"/>
      <c r="AV117" s="577"/>
      <c r="AW117" s="577"/>
      <c r="AX117" s="577"/>
      <c r="AY117" s="577"/>
      <c r="AZ117" s="577"/>
    </row>
    <row r="118" spans="1:52" ht="15.75" customHeight="1" x14ac:dyDescent="0.2">
      <c r="A118" s="577"/>
      <c r="B118" s="577"/>
      <c r="C118" s="577"/>
      <c r="D118" s="577"/>
      <c r="E118" s="577"/>
      <c r="F118" s="577"/>
      <c r="G118" s="577"/>
      <c r="H118" s="577"/>
      <c r="I118" s="577"/>
      <c r="J118" s="577"/>
      <c r="K118" s="577"/>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c r="AO118" s="577"/>
      <c r="AP118" s="577"/>
      <c r="AQ118" s="577"/>
      <c r="AR118" s="577"/>
      <c r="AS118" s="577"/>
      <c r="AT118" s="577"/>
      <c r="AU118" s="577"/>
      <c r="AV118" s="577"/>
      <c r="AW118" s="577"/>
      <c r="AX118" s="577"/>
      <c r="AY118" s="577"/>
      <c r="AZ118" s="577"/>
    </row>
    <row r="119" spans="1:52" ht="15.75" customHeight="1" x14ac:dyDescent="0.2">
      <c r="A119" s="577"/>
      <c r="B119" s="577"/>
      <c r="C119" s="577"/>
      <c r="D119" s="577"/>
      <c r="E119" s="577"/>
      <c r="F119" s="577"/>
      <c r="G119" s="577"/>
      <c r="H119" s="577"/>
      <c r="I119" s="577"/>
      <c r="J119" s="577"/>
      <c r="K119" s="577"/>
      <c r="L119" s="577"/>
      <c r="M119" s="577"/>
      <c r="N119" s="577"/>
      <c r="O119" s="577"/>
      <c r="P119" s="577"/>
      <c r="Q119" s="577"/>
      <c r="R119" s="577"/>
      <c r="S119" s="577"/>
      <c r="T119" s="577"/>
      <c r="U119" s="577"/>
      <c r="V119" s="577"/>
      <c r="W119" s="577"/>
      <c r="X119" s="577"/>
      <c r="Y119" s="577"/>
      <c r="Z119" s="577"/>
      <c r="AA119" s="577"/>
      <c r="AB119" s="577"/>
      <c r="AC119" s="577"/>
      <c r="AD119" s="577"/>
      <c r="AE119" s="577"/>
      <c r="AF119" s="577"/>
      <c r="AG119" s="577"/>
      <c r="AH119" s="577"/>
      <c r="AI119" s="577"/>
      <c r="AJ119" s="577"/>
      <c r="AK119" s="577"/>
      <c r="AL119" s="577"/>
      <c r="AM119" s="577"/>
      <c r="AN119" s="577"/>
      <c r="AO119" s="577"/>
      <c r="AP119" s="577"/>
      <c r="AQ119" s="577"/>
      <c r="AR119" s="577"/>
      <c r="AS119" s="577"/>
      <c r="AT119" s="577"/>
      <c r="AU119" s="577"/>
      <c r="AV119" s="577"/>
      <c r="AW119" s="577"/>
      <c r="AX119" s="577"/>
      <c r="AY119" s="577"/>
      <c r="AZ119" s="577"/>
    </row>
    <row r="120" spans="1:52" ht="15.75" customHeight="1" x14ac:dyDescent="0.2">
      <c r="A120" s="577"/>
      <c r="B120" s="577"/>
      <c r="C120" s="577"/>
      <c r="D120" s="577"/>
      <c r="E120" s="577"/>
      <c r="F120" s="577"/>
      <c r="G120" s="577"/>
      <c r="H120" s="577"/>
      <c r="I120" s="577"/>
      <c r="J120" s="577"/>
      <c r="K120" s="577"/>
      <c r="L120" s="577"/>
      <c r="M120" s="577"/>
      <c r="N120" s="577"/>
      <c r="O120" s="577"/>
      <c r="P120" s="577"/>
      <c r="Q120" s="577"/>
      <c r="R120" s="577"/>
      <c r="S120" s="577"/>
      <c r="T120" s="577"/>
      <c r="U120" s="577"/>
      <c r="V120" s="577"/>
      <c r="W120" s="577"/>
      <c r="X120" s="577"/>
      <c r="Y120" s="577"/>
      <c r="Z120" s="577"/>
      <c r="AA120" s="577"/>
      <c r="AB120" s="577"/>
      <c r="AC120" s="577"/>
      <c r="AD120" s="577"/>
      <c r="AE120" s="577"/>
      <c r="AF120" s="577"/>
      <c r="AG120" s="577"/>
      <c r="AH120" s="577"/>
      <c r="AI120" s="577"/>
      <c r="AJ120" s="577"/>
      <c r="AK120" s="577"/>
      <c r="AL120" s="577"/>
      <c r="AM120" s="577"/>
      <c r="AN120" s="577"/>
      <c r="AO120" s="577"/>
      <c r="AP120" s="577"/>
      <c r="AQ120" s="577"/>
      <c r="AR120" s="577"/>
      <c r="AS120" s="577"/>
      <c r="AT120" s="577"/>
      <c r="AU120" s="577"/>
      <c r="AV120" s="577"/>
      <c r="AW120" s="577"/>
      <c r="AX120" s="577"/>
      <c r="AY120" s="577"/>
      <c r="AZ120" s="577"/>
    </row>
    <row r="121" spans="1:52" ht="15.75" customHeight="1" x14ac:dyDescent="0.2">
      <c r="A121" s="577"/>
      <c r="B121" s="577"/>
      <c r="C121" s="577"/>
      <c r="D121" s="577"/>
      <c r="E121" s="577"/>
      <c r="F121" s="577"/>
      <c r="G121" s="577"/>
      <c r="H121" s="577"/>
      <c r="I121" s="577"/>
      <c r="J121" s="577"/>
      <c r="K121" s="577"/>
      <c r="L121" s="577"/>
      <c r="M121" s="577"/>
      <c r="N121" s="577"/>
      <c r="O121" s="577"/>
      <c r="P121" s="577"/>
      <c r="Q121" s="577"/>
      <c r="R121" s="577"/>
      <c r="S121" s="577"/>
      <c r="T121" s="577"/>
      <c r="U121" s="577"/>
      <c r="V121" s="577"/>
      <c r="W121" s="577"/>
      <c r="X121" s="577"/>
      <c r="Y121" s="577"/>
      <c r="Z121" s="577"/>
      <c r="AA121" s="577"/>
      <c r="AB121" s="577"/>
      <c r="AC121" s="577"/>
      <c r="AD121" s="577"/>
      <c r="AE121" s="577"/>
      <c r="AF121" s="577"/>
      <c r="AG121" s="577"/>
      <c r="AH121" s="577"/>
      <c r="AI121" s="577"/>
      <c r="AJ121" s="577"/>
      <c r="AK121" s="577"/>
      <c r="AL121" s="577"/>
      <c r="AM121" s="577"/>
      <c r="AN121" s="577"/>
      <c r="AO121" s="577"/>
      <c r="AP121" s="577"/>
      <c r="AQ121" s="577"/>
      <c r="AR121" s="577"/>
      <c r="AS121" s="577"/>
      <c r="AT121" s="577"/>
      <c r="AU121" s="577"/>
      <c r="AV121" s="577"/>
      <c r="AW121" s="577"/>
      <c r="AX121" s="577"/>
      <c r="AY121" s="577"/>
      <c r="AZ121" s="577"/>
    </row>
    <row r="122" spans="1:52" ht="15.75" customHeight="1" x14ac:dyDescent="0.2">
      <c r="A122" s="577"/>
      <c r="B122" s="577"/>
      <c r="C122" s="577"/>
      <c r="D122" s="577"/>
      <c r="E122" s="577"/>
      <c r="F122" s="577"/>
      <c r="G122" s="577"/>
      <c r="H122" s="577"/>
      <c r="I122" s="577"/>
      <c r="J122" s="577"/>
      <c r="K122" s="577"/>
      <c r="L122" s="577"/>
      <c r="M122" s="577"/>
      <c r="N122" s="577"/>
      <c r="O122" s="577"/>
      <c r="P122" s="577"/>
      <c r="Q122" s="577"/>
      <c r="R122" s="577"/>
      <c r="S122" s="577"/>
      <c r="T122" s="577"/>
      <c r="U122" s="577"/>
      <c r="V122" s="577"/>
      <c r="W122" s="577"/>
      <c r="X122" s="577"/>
      <c r="Y122" s="577"/>
      <c r="Z122" s="577"/>
      <c r="AA122" s="577"/>
      <c r="AB122" s="577"/>
      <c r="AC122" s="577"/>
      <c r="AD122" s="577"/>
      <c r="AE122" s="577"/>
      <c r="AF122" s="577"/>
      <c r="AG122" s="577"/>
      <c r="AH122" s="577"/>
      <c r="AI122" s="577"/>
      <c r="AJ122" s="577"/>
      <c r="AK122" s="577"/>
      <c r="AL122" s="577"/>
      <c r="AM122" s="577"/>
      <c r="AN122" s="577"/>
      <c r="AO122" s="577"/>
      <c r="AP122" s="577"/>
      <c r="AQ122" s="577"/>
      <c r="AR122" s="577"/>
      <c r="AS122" s="577"/>
      <c r="AT122" s="577"/>
      <c r="AU122" s="577"/>
      <c r="AV122" s="577"/>
      <c r="AW122" s="577"/>
      <c r="AX122" s="577"/>
      <c r="AY122" s="577"/>
      <c r="AZ122" s="577"/>
    </row>
    <row r="123" spans="1:52" ht="15.75" customHeight="1" x14ac:dyDescent="0.2">
      <c r="A123" s="577"/>
      <c r="B123" s="577"/>
      <c r="C123" s="577"/>
      <c r="D123" s="577"/>
      <c r="E123" s="577"/>
      <c r="F123" s="577"/>
      <c r="G123" s="577"/>
      <c r="H123" s="577"/>
      <c r="I123" s="577"/>
      <c r="J123" s="577"/>
      <c r="K123" s="577"/>
      <c r="L123" s="577"/>
      <c r="M123" s="577"/>
      <c r="N123" s="577"/>
      <c r="O123" s="577"/>
      <c r="P123" s="577"/>
      <c r="Q123" s="577"/>
      <c r="R123" s="577"/>
      <c r="S123" s="577"/>
      <c r="T123" s="577"/>
      <c r="U123" s="577"/>
      <c r="V123" s="577"/>
      <c r="W123" s="577"/>
      <c r="X123" s="577"/>
      <c r="Y123" s="577"/>
      <c r="Z123" s="577"/>
      <c r="AA123" s="577"/>
      <c r="AB123" s="577"/>
      <c r="AC123" s="577"/>
      <c r="AD123" s="577"/>
      <c r="AE123" s="577"/>
      <c r="AF123" s="577"/>
      <c r="AG123" s="577"/>
      <c r="AH123" s="577"/>
      <c r="AI123" s="577"/>
      <c r="AJ123" s="577"/>
      <c r="AK123" s="577"/>
      <c r="AL123" s="577"/>
      <c r="AM123" s="577"/>
      <c r="AN123" s="577"/>
      <c r="AO123" s="577"/>
      <c r="AP123" s="577"/>
      <c r="AQ123" s="577"/>
      <c r="AR123" s="577"/>
      <c r="AS123" s="577"/>
      <c r="AT123" s="577"/>
      <c r="AU123" s="577"/>
      <c r="AV123" s="577"/>
      <c r="AW123" s="577"/>
      <c r="AX123" s="577"/>
      <c r="AY123" s="577"/>
      <c r="AZ123" s="577"/>
    </row>
    <row r="124" spans="1:52" ht="15.75" customHeight="1" x14ac:dyDescent="0.2">
      <c r="A124" s="577"/>
      <c r="B124" s="577"/>
      <c r="C124" s="577"/>
      <c r="D124" s="577"/>
      <c r="E124" s="577"/>
      <c r="F124" s="577"/>
      <c r="G124" s="577"/>
      <c r="H124" s="577"/>
      <c r="I124" s="577"/>
      <c r="J124" s="577"/>
      <c r="K124" s="577"/>
      <c r="L124" s="577"/>
      <c r="M124" s="577"/>
      <c r="N124" s="577"/>
      <c r="O124" s="577"/>
      <c r="P124" s="577"/>
      <c r="Q124" s="577"/>
      <c r="R124" s="577"/>
      <c r="S124" s="577"/>
      <c r="T124" s="577"/>
      <c r="U124" s="577"/>
      <c r="V124" s="577"/>
      <c r="W124" s="577"/>
      <c r="X124" s="577"/>
      <c r="Y124" s="577"/>
      <c r="Z124" s="577"/>
      <c r="AA124" s="577"/>
      <c r="AB124" s="577"/>
      <c r="AC124" s="577"/>
      <c r="AD124" s="577"/>
      <c r="AE124" s="577"/>
      <c r="AF124" s="577"/>
      <c r="AG124" s="577"/>
      <c r="AH124" s="577"/>
      <c r="AI124" s="577"/>
      <c r="AJ124" s="577"/>
      <c r="AK124" s="577"/>
      <c r="AL124" s="577"/>
      <c r="AM124" s="577"/>
      <c r="AN124" s="577"/>
      <c r="AO124" s="577"/>
      <c r="AP124" s="577"/>
      <c r="AQ124" s="577"/>
      <c r="AR124" s="577"/>
      <c r="AS124" s="577"/>
      <c r="AT124" s="577"/>
      <c r="AU124" s="577"/>
      <c r="AV124" s="577"/>
      <c r="AW124" s="577"/>
      <c r="AX124" s="577"/>
      <c r="AY124" s="577"/>
      <c r="AZ124" s="577"/>
    </row>
    <row r="125" spans="1:52" ht="15.75" customHeight="1" x14ac:dyDescent="0.2">
      <c r="A125" s="577"/>
      <c r="B125" s="577"/>
      <c r="C125" s="577"/>
      <c r="D125" s="577"/>
      <c r="E125" s="577"/>
      <c r="F125" s="577"/>
      <c r="G125" s="577"/>
      <c r="H125" s="577"/>
      <c r="I125" s="577"/>
      <c r="J125" s="577"/>
      <c r="K125" s="577"/>
      <c r="L125" s="577"/>
      <c r="M125" s="577"/>
      <c r="N125" s="577"/>
      <c r="O125" s="577"/>
      <c r="P125" s="577"/>
      <c r="Q125" s="577"/>
      <c r="R125" s="577"/>
      <c r="S125" s="577"/>
      <c r="T125" s="577"/>
      <c r="U125" s="577"/>
      <c r="V125" s="577"/>
      <c r="W125" s="577"/>
      <c r="X125" s="577"/>
      <c r="Y125" s="577"/>
      <c r="Z125" s="577"/>
      <c r="AA125" s="577"/>
      <c r="AB125" s="577"/>
      <c r="AC125" s="577"/>
      <c r="AD125" s="577"/>
      <c r="AE125" s="577"/>
      <c r="AF125" s="577"/>
      <c r="AG125" s="577"/>
      <c r="AH125" s="577"/>
      <c r="AI125" s="577"/>
      <c r="AJ125" s="577"/>
      <c r="AK125" s="577"/>
      <c r="AL125" s="577"/>
      <c r="AM125" s="577"/>
      <c r="AN125" s="577"/>
      <c r="AO125" s="577"/>
      <c r="AP125" s="577"/>
      <c r="AQ125" s="577"/>
      <c r="AR125" s="577"/>
      <c r="AS125" s="577"/>
      <c r="AT125" s="577"/>
      <c r="AU125" s="577"/>
      <c r="AV125" s="577"/>
      <c r="AW125" s="577"/>
      <c r="AX125" s="577"/>
      <c r="AY125" s="577"/>
      <c r="AZ125" s="577"/>
    </row>
    <row r="126" spans="1:52" ht="15.75" customHeight="1" x14ac:dyDescent="0.2">
      <c r="A126" s="577"/>
      <c r="B126" s="577"/>
      <c r="C126" s="577"/>
      <c r="D126" s="577"/>
      <c r="E126" s="577"/>
      <c r="F126" s="577"/>
      <c r="G126" s="577"/>
      <c r="H126" s="577"/>
      <c r="I126" s="577"/>
      <c r="J126" s="577"/>
      <c r="K126" s="577"/>
      <c r="L126" s="577"/>
      <c r="M126" s="577"/>
      <c r="N126" s="577"/>
      <c r="O126" s="577"/>
      <c r="P126" s="577"/>
      <c r="Q126" s="577"/>
      <c r="R126" s="577"/>
      <c r="S126" s="577"/>
      <c r="T126" s="577"/>
      <c r="U126" s="577"/>
      <c r="V126" s="577"/>
      <c r="W126" s="577"/>
      <c r="X126" s="577"/>
      <c r="Y126" s="577"/>
      <c r="Z126" s="577"/>
      <c r="AA126" s="577"/>
      <c r="AB126" s="577"/>
      <c r="AC126" s="577"/>
      <c r="AD126" s="577"/>
      <c r="AE126" s="577"/>
      <c r="AF126" s="577"/>
      <c r="AG126" s="577"/>
      <c r="AH126" s="577"/>
      <c r="AI126" s="577"/>
      <c r="AJ126" s="577"/>
      <c r="AK126" s="577"/>
      <c r="AL126" s="577"/>
      <c r="AM126" s="577"/>
      <c r="AN126" s="577"/>
      <c r="AO126" s="577"/>
      <c r="AP126" s="577"/>
      <c r="AQ126" s="577"/>
      <c r="AR126" s="577"/>
      <c r="AS126" s="577"/>
      <c r="AT126" s="577"/>
      <c r="AU126" s="577"/>
      <c r="AV126" s="577"/>
      <c r="AW126" s="577"/>
      <c r="AX126" s="577"/>
      <c r="AY126" s="577"/>
      <c r="AZ126" s="577"/>
    </row>
    <row r="127" spans="1:52" ht="15.75" customHeight="1" x14ac:dyDescent="0.2">
      <c r="A127" s="577"/>
      <c r="B127" s="577"/>
      <c r="C127" s="577"/>
      <c r="D127" s="577"/>
      <c r="E127" s="577"/>
      <c r="F127" s="577"/>
      <c r="G127" s="577"/>
      <c r="H127" s="577"/>
      <c r="I127" s="577"/>
      <c r="J127" s="577"/>
      <c r="K127" s="577"/>
      <c r="L127" s="577"/>
      <c r="M127" s="577"/>
      <c r="N127" s="577"/>
      <c r="O127" s="577"/>
      <c r="P127" s="577"/>
      <c r="Q127" s="577"/>
      <c r="R127" s="577"/>
      <c r="S127" s="577"/>
      <c r="T127" s="577"/>
      <c r="U127" s="577"/>
      <c r="V127" s="577"/>
      <c r="W127" s="577"/>
      <c r="X127" s="577"/>
      <c r="Y127" s="577"/>
      <c r="Z127" s="577"/>
      <c r="AA127" s="577"/>
      <c r="AB127" s="577"/>
      <c r="AC127" s="577"/>
      <c r="AD127" s="577"/>
      <c r="AE127" s="577"/>
      <c r="AF127" s="577"/>
      <c r="AG127" s="577"/>
      <c r="AH127" s="577"/>
      <c r="AI127" s="577"/>
      <c r="AJ127" s="577"/>
      <c r="AK127" s="577"/>
      <c r="AL127" s="577"/>
      <c r="AM127" s="577"/>
      <c r="AN127" s="577"/>
      <c r="AO127" s="577"/>
      <c r="AP127" s="577"/>
      <c r="AQ127" s="577"/>
      <c r="AR127" s="577"/>
      <c r="AS127" s="577"/>
      <c r="AT127" s="577"/>
      <c r="AU127" s="577"/>
      <c r="AV127" s="577"/>
      <c r="AW127" s="577"/>
      <c r="AX127" s="577"/>
      <c r="AY127" s="577"/>
      <c r="AZ127" s="577"/>
    </row>
    <row r="128" spans="1:52" ht="15.75" customHeight="1" x14ac:dyDescent="0.2">
      <c r="A128" s="577"/>
      <c r="B128" s="577"/>
      <c r="C128" s="577"/>
      <c r="D128" s="577"/>
      <c r="E128" s="577"/>
      <c r="F128" s="577"/>
      <c r="G128" s="577"/>
      <c r="H128" s="577"/>
      <c r="I128" s="577"/>
      <c r="J128" s="577"/>
      <c r="K128" s="577"/>
      <c r="L128" s="577"/>
      <c r="M128" s="577"/>
      <c r="N128" s="577"/>
      <c r="O128" s="577"/>
      <c r="P128" s="577"/>
      <c r="Q128" s="577"/>
      <c r="R128" s="577"/>
      <c r="S128" s="577"/>
      <c r="T128" s="577"/>
      <c r="U128" s="577"/>
      <c r="V128" s="577"/>
      <c r="W128" s="577"/>
      <c r="X128" s="577"/>
      <c r="Y128" s="577"/>
      <c r="Z128" s="577"/>
      <c r="AA128" s="577"/>
      <c r="AB128" s="577"/>
      <c r="AC128" s="577"/>
      <c r="AD128" s="577"/>
      <c r="AE128" s="577"/>
      <c r="AF128" s="577"/>
      <c r="AG128" s="577"/>
      <c r="AH128" s="577"/>
      <c r="AI128" s="577"/>
      <c r="AJ128" s="577"/>
      <c r="AK128" s="577"/>
      <c r="AL128" s="577"/>
      <c r="AM128" s="577"/>
      <c r="AN128" s="577"/>
      <c r="AO128" s="577"/>
      <c r="AP128" s="577"/>
      <c r="AQ128" s="577"/>
      <c r="AR128" s="577"/>
      <c r="AS128" s="577"/>
      <c r="AT128" s="577"/>
      <c r="AU128" s="577"/>
      <c r="AV128" s="577"/>
      <c r="AW128" s="577"/>
      <c r="AX128" s="577"/>
      <c r="AY128" s="577"/>
      <c r="AZ128" s="577"/>
    </row>
    <row r="129" spans="1:52" ht="15.75" customHeight="1" x14ac:dyDescent="0.2">
      <c r="A129" s="577"/>
      <c r="B129" s="577"/>
      <c r="C129" s="577"/>
      <c r="D129" s="577"/>
      <c r="E129" s="577"/>
      <c r="F129" s="577"/>
      <c r="G129" s="577"/>
      <c r="H129" s="577"/>
      <c r="I129" s="577"/>
      <c r="J129" s="577"/>
      <c r="K129" s="577"/>
      <c r="L129" s="577"/>
      <c r="M129" s="577"/>
      <c r="N129" s="577"/>
      <c r="O129" s="577"/>
      <c r="P129" s="577"/>
      <c r="Q129" s="577"/>
      <c r="R129" s="577"/>
      <c r="S129" s="577"/>
      <c r="T129" s="577"/>
      <c r="U129" s="577"/>
      <c r="V129" s="577"/>
      <c r="W129" s="577"/>
      <c r="X129" s="577"/>
      <c r="Y129" s="577"/>
      <c r="Z129" s="577"/>
      <c r="AA129" s="577"/>
      <c r="AB129" s="577"/>
      <c r="AC129" s="577"/>
      <c r="AD129" s="577"/>
      <c r="AE129" s="577"/>
      <c r="AF129" s="577"/>
      <c r="AG129" s="577"/>
      <c r="AH129" s="577"/>
      <c r="AI129" s="577"/>
      <c r="AJ129" s="577"/>
      <c r="AK129" s="577"/>
      <c r="AL129" s="577"/>
      <c r="AM129" s="577"/>
      <c r="AN129" s="577"/>
      <c r="AO129" s="577"/>
      <c r="AP129" s="577"/>
      <c r="AQ129" s="577"/>
      <c r="AR129" s="577"/>
      <c r="AS129" s="577"/>
      <c r="AT129" s="577"/>
      <c r="AU129" s="577"/>
      <c r="AV129" s="577"/>
      <c r="AW129" s="577"/>
      <c r="AX129" s="577"/>
      <c r="AY129" s="577"/>
      <c r="AZ129" s="577"/>
    </row>
    <row r="130" spans="1:52" ht="15.75" customHeight="1" x14ac:dyDescent="0.2">
      <c r="A130" s="577"/>
      <c r="B130" s="577"/>
      <c r="C130" s="577"/>
      <c r="D130" s="577"/>
      <c r="E130" s="577"/>
      <c r="F130" s="577"/>
      <c r="G130" s="577"/>
      <c r="H130" s="577"/>
      <c r="I130" s="577"/>
      <c r="J130" s="577"/>
      <c r="K130" s="577"/>
      <c r="L130" s="577"/>
      <c r="M130" s="577"/>
      <c r="N130" s="577"/>
      <c r="O130" s="577"/>
      <c r="P130" s="577"/>
      <c r="Q130" s="577"/>
      <c r="R130" s="577"/>
      <c r="S130" s="577"/>
      <c r="T130" s="577"/>
      <c r="U130" s="577"/>
      <c r="V130" s="577"/>
      <c r="W130" s="577"/>
      <c r="X130" s="577"/>
      <c r="Y130" s="577"/>
      <c r="Z130" s="577"/>
      <c r="AA130" s="577"/>
      <c r="AB130" s="577"/>
      <c r="AC130" s="577"/>
      <c r="AD130" s="577"/>
      <c r="AE130" s="577"/>
      <c r="AF130" s="577"/>
      <c r="AG130" s="577"/>
      <c r="AH130" s="577"/>
      <c r="AI130" s="577"/>
      <c r="AJ130" s="577"/>
      <c r="AK130" s="577"/>
      <c r="AL130" s="577"/>
      <c r="AM130" s="577"/>
      <c r="AN130" s="577"/>
      <c r="AO130" s="577"/>
      <c r="AP130" s="577"/>
      <c r="AQ130" s="577"/>
      <c r="AR130" s="577"/>
      <c r="AS130" s="577"/>
      <c r="AT130" s="577"/>
      <c r="AU130" s="577"/>
      <c r="AV130" s="577"/>
      <c r="AW130" s="577"/>
      <c r="AX130" s="577"/>
      <c r="AY130" s="577"/>
      <c r="AZ130" s="577"/>
    </row>
    <row r="131" spans="1:52" ht="15.75" customHeight="1" x14ac:dyDescent="0.2">
      <c r="A131" s="577"/>
      <c r="B131" s="577"/>
      <c r="C131" s="577"/>
      <c r="D131" s="577"/>
      <c r="E131" s="577"/>
      <c r="F131" s="577"/>
      <c r="G131" s="577"/>
      <c r="H131" s="577"/>
      <c r="I131" s="577"/>
      <c r="J131" s="577"/>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7"/>
      <c r="AK131" s="577"/>
      <c r="AL131" s="577"/>
      <c r="AM131" s="577"/>
      <c r="AN131" s="577"/>
      <c r="AO131" s="577"/>
      <c r="AP131" s="577"/>
      <c r="AQ131" s="577"/>
      <c r="AR131" s="577"/>
      <c r="AS131" s="577"/>
      <c r="AT131" s="577"/>
      <c r="AU131" s="577"/>
      <c r="AV131" s="577"/>
      <c r="AW131" s="577"/>
      <c r="AX131" s="577"/>
      <c r="AY131" s="577"/>
      <c r="AZ131" s="577"/>
    </row>
    <row r="132" spans="1:52" ht="15.75" customHeight="1" x14ac:dyDescent="0.2">
      <c r="A132" s="577"/>
      <c r="B132" s="577"/>
      <c r="C132" s="577"/>
      <c r="D132" s="577"/>
      <c r="E132" s="577"/>
      <c r="F132" s="577"/>
      <c r="G132" s="577"/>
      <c r="H132" s="577"/>
      <c r="I132" s="577"/>
      <c r="J132" s="577"/>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7"/>
      <c r="AK132" s="577"/>
      <c r="AL132" s="577"/>
      <c r="AM132" s="577"/>
      <c r="AN132" s="577"/>
      <c r="AO132" s="577"/>
      <c r="AP132" s="577"/>
      <c r="AQ132" s="577"/>
      <c r="AR132" s="577"/>
      <c r="AS132" s="577"/>
      <c r="AT132" s="577"/>
      <c r="AU132" s="577"/>
      <c r="AV132" s="577"/>
      <c r="AW132" s="577"/>
      <c r="AX132" s="577"/>
      <c r="AY132" s="577"/>
      <c r="AZ132" s="577"/>
    </row>
    <row r="133" spans="1:52" ht="15.75" customHeight="1" x14ac:dyDescent="0.2">
      <c r="A133" s="577"/>
      <c r="B133" s="577"/>
      <c r="C133" s="577"/>
      <c r="D133" s="577"/>
      <c r="E133" s="577"/>
      <c r="F133" s="577"/>
      <c r="G133" s="577"/>
      <c r="H133" s="577"/>
      <c r="I133" s="577"/>
      <c r="J133" s="577"/>
      <c r="K133" s="577"/>
      <c r="L133" s="577"/>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7"/>
      <c r="AK133" s="577"/>
      <c r="AL133" s="577"/>
      <c r="AM133" s="577"/>
      <c r="AN133" s="577"/>
      <c r="AO133" s="577"/>
      <c r="AP133" s="577"/>
      <c r="AQ133" s="577"/>
      <c r="AR133" s="577"/>
      <c r="AS133" s="577"/>
      <c r="AT133" s="577"/>
      <c r="AU133" s="577"/>
      <c r="AV133" s="577"/>
      <c r="AW133" s="577"/>
      <c r="AX133" s="577"/>
      <c r="AY133" s="577"/>
      <c r="AZ133" s="577"/>
    </row>
    <row r="134" spans="1:52" ht="15.75" customHeight="1" x14ac:dyDescent="0.2">
      <c r="A134" s="577"/>
      <c r="B134" s="577"/>
      <c r="C134" s="577"/>
      <c r="D134" s="577"/>
      <c r="E134" s="577"/>
      <c r="F134" s="577"/>
      <c r="G134" s="577"/>
      <c r="H134" s="577"/>
      <c r="I134" s="577"/>
      <c r="J134" s="577"/>
      <c r="K134" s="577"/>
      <c r="L134" s="577"/>
      <c r="M134" s="577"/>
      <c r="N134" s="577"/>
      <c r="O134" s="577"/>
      <c r="P134" s="577"/>
      <c r="Q134" s="577"/>
      <c r="R134" s="577"/>
      <c r="S134" s="577"/>
      <c r="T134" s="577"/>
      <c r="U134" s="577"/>
      <c r="V134" s="577"/>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c r="AY134" s="577"/>
      <c r="AZ134" s="577"/>
    </row>
    <row r="135" spans="1:52" ht="15.75" customHeight="1" x14ac:dyDescent="0.2">
      <c r="A135" s="577"/>
      <c r="B135" s="577"/>
      <c r="C135" s="577"/>
      <c r="D135" s="577"/>
      <c r="E135" s="577"/>
      <c r="F135" s="577"/>
      <c r="G135" s="577"/>
      <c r="H135" s="577"/>
      <c r="I135" s="577"/>
      <c r="J135" s="577"/>
      <c r="K135" s="577"/>
      <c r="L135" s="577"/>
      <c r="M135" s="577"/>
      <c r="N135" s="577"/>
      <c r="O135" s="577"/>
      <c r="P135" s="577"/>
      <c r="Q135" s="577"/>
      <c r="R135" s="577"/>
      <c r="S135" s="577"/>
      <c r="T135" s="577"/>
      <c r="U135" s="577"/>
      <c r="V135" s="577"/>
      <c r="W135" s="577"/>
      <c r="X135" s="577"/>
      <c r="Y135" s="577"/>
      <c r="Z135" s="577"/>
      <c r="AA135" s="577"/>
      <c r="AB135" s="577"/>
      <c r="AC135" s="577"/>
      <c r="AD135" s="577"/>
      <c r="AE135" s="577"/>
      <c r="AF135" s="577"/>
      <c r="AG135" s="577"/>
      <c r="AH135" s="577"/>
      <c r="AI135" s="577"/>
      <c r="AJ135" s="577"/>
      <c r="AK135" s="577"/>
      <c r="AL135" s="577"/>
      <c r="AM135" s="577"/>
      <c r="AN135" s="577"/>
      <c r="AO135" s="577"/>
      <c r="AP135" s="577"/>
      <c r="AQ135" s="577"/>
      <c r="AR135" s="577"/>
      <c r="AS135" s="577"/>
      <c r="AT135" s="577"/>
      <c r="AU135" s="577"/>
      <c r="AV135" s="577"/>
      <c r="AW135" s="577"/>
      <c r="AX135" s="577"/>
      <c r="AY135" s="577"/>
      <c r="AZ135" s="577"/>
    </row>
    <row r="136" spans="1:52" ht="15.75" customHeight="1" x14ac:dyDescent="0.2">
      <c r="A136" s="577"/>
      <c r="B136" s="577"/>
      <c r="C136" s="577"/>
      <c r="D136" s="577"/>
      <c r="E136" s="577"/>
      <c r="F136" s="577"/>
      <c r="G136" s="577"/>
      <c r="H136" s="577"/>
      <c r="I136" s="577"/>
      <c r="J136" s="577"/>
      <c r="K136" s="577"/>
      <c r="L136" s="577"/>
      <c r="M136" s="577"/>
      <c r="N136" s="577"/>
      <c r="O136" s="577"/>
      <c r="P136" s="577"/>
      <c r="Q136" s="577"/>
      <c r="R136" s="577"/>
      <c r="S136" s="577"/>
      <c r="T136" s="577"/>
      <c r="U136" s="577"/>
      <c r="V136" s="577"/>
      <c r="W136" s="577"/>
      <c r="X136" s="577"/>
      <c r="Y136" s="577"/>
      <c r="Z136" s="577"/>
      <c r="AA136" s="577"/>
      <c r="AB136" s="577"/>
      <c r="AC136" s="577"/>
      <c r="AD136" s="577"/>
      <c r="AE136" s="577"/>
      <c r="AF136" s="577"/>
      <c r="AG136" s="577"/>
      <c r="AH136" s="577"/>
      <c r="AI136" s="577"/>
      <c r="AJ136" s="577"/>
      <c r="AK136" s="577"/>
      <c r="AL136" s="577"/>
      <c r="AM136" s="577"/>
      <c r="AN136" s="577"/>
      <c r="AO136" s="577"/>
      <c r="AP136" s="577"/>
      <c r="AQ136" s="577"/>
      <c r="AR136" s="577"/>
      <c r="AS136" s="577"/>
      <c r="AT136" s="577"/>
      <c r="AU136" s="577"/>
      <c r="AV136" s="577"/>
      <c r="AW136" s="577"/>
      <c r="AX136" s="577"/>
      <c r="AY136" s="577"/>
      <c r="AZ136" s="577"/>
    </row>
    <row r="137" spans="1:52" ht="15.75" customHeight="1" x14ac:dyDescent="0.2">
      <c r="A137" s="577"/>
      <c r="B137" s="577"/>
      <c r="C137" s="577"/>
      <c r="D137" s="577"/>
      <c r="E137" s="577"/>
      <c r="F137" s="577"/>
      <c r="G137" s="577"/>
      <c r="H137" s="577"/>
      <c r="I137" s="577"/>
      <c r="J137" s="577"/>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7"/>
      <c r="AK137" s="577"/>
      <c r="AL137" s="577"/>
      <c r="AM137" s="577"/>
      <c r="AN137" s="577"/>
      <c r="AO137" s="577"/>
      <c r="AP137" s="577"/>
      <c r="AQ137" s="577"/>
      <c r="AR137" s="577"/>
      <c r="AS137" s="577"/>
      <c r="AT137" s="577"/>
      <c r="AU137" s="577"/>
      <c r="AV137" s="577"/>
      <c r="AW137" s="577"/>
      <c r="AX137" s="577"/>
      <c r="AY137" s="577"/>
      <c r="AZ137" s="577"/>
    </row>
    <row r="138" spans="1:52" ht="15.75" customHeight="1" x14ac:dyDescent="0.2">
      <c r="A138" s="577"/>
      <c r="B138" s="577"/>
      <c r="C138" s="577"/>
      <c r="D138" s="577"/>
      <c r="E138" s="577"/>
      <c r="F138" s="577"/>
      <c r="G138" s="577"/>
      <c r="H138" s="577"/>
      <c r="I138" s="577"/>
      <c r="J138" s="577"/>
      <c r="K138" s="577"/>
      <c r="L138" s="577"/>
      <c r="M138" s="577"/>
      <c r="N138" s="577"/>
      <c r="O138" s="577"/>
      <c r="P138" s="577"/>
      <c r="Q138" s="577"/>
      <c r="R138" s="577"/>
      <c r="S138" s="577"/>
      <c r="T138" s="577"/>
      <c r="U138" s="577"/>
      <c r="V138" s="577"/>
      <c r="W138" s="577"/>
      <c r="X138" s="577"/>
      <c r="Y138" s="577"/>
      <c r="Z138" s="577"/>
      <c r="AA138" s="577"/>
      <c r="AB138" s="577"/>
      <c r="AC138" s="577"/>
      <c r="AD138" s="577"/>
      <c r="AE138" s="577"/>
      <c r="AF138" s="577"/>
      <c r="AG138" s="577"/>
      <c r="AH138" s="577"/>
      <c r="AI138" s="577"/>
      <c r="AJ138" s="577"/>
      <c r="AK138" s="577"/>
      <c r="AL138" s="577"/>
      <c r="AM138" s="577"/>
      <c r="AN138" s="577"/>
      <c r="AO138" s="577"/>
      <c r="AP138" s="577"/>
      <c r="AQ138" s="577"/>
      <c r="AR138" s="577"/>
      <c r="AS138" s="577"/>
      <c r="AT138" s="577"/>
      <c r="AU138" s="577"/>
      <c r="AV138" s="577"/>
      <c r="AW138" s="577"/>
      <c r="AX138" s="577"/>
      <c r="AY138" s="577"/>
      <c r="AZ138" s="577"/>
    </row>
    <row r="139" spans="1:52" ht="15.75" customHeight="1" x14ac:dyDescent="0.2">
      <c r="A139" s="577"/>
      <c r="B139" s="577"/>
      <c r="C139" s="577"/>
      <c r="D139" s="577"/>
      <c r="E139" s="577"/>
      <c r="F139" s="577"/>
      <c r="G139" s="577"/>
      <c r="H139" s="577"/>
      <c r="I139" s="577"/>
      <c r="J139" s="577"/>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7"/>
      <c r="AK139" s="577"/>
      <c r="AL139" s="577"/>
      <c r="AM139" s="577"/>
      <c r="AN139" s="577"/>
      <c r="AO139" s="577"/>
      <c r="AP139" s="577"/>
      <c r="AQ139" s="577"/>
      <c r="AR139" s="577"/>
      <c r="AS139" s="577"/>
      <c r="AT139" s="577"/>
      <c r="AU139" s="577"/>
      <c r="AV139" s="577"/>
      <c r="AW139" s="577"/>
      <c r="AX139" s="577"/>
      <c r="AY139" s="577"/>
      <c r="AZ139" s="577"/>
    </row>
    <row r="140" spans="1:52" ht="15.75" customHeight="1" x14ac:dyDescent="0.2">
      <c r="A140" s="577"/>
      <c r="B140" s="577"/>
      <c r="C140" s="577"/>
      <c r="D140" s="577"/>
      <c r="E140" s="577"/>
      <c r="F140" s="577"/>
      <c r="G140" s="577"/>
      <c r="H140" s="577"/>
      <c r="I140" s="577"/>
      <c r="J140" s="577"/>
      <c r="K140" s="577"/>
      <c r="L140" s="577"/>
      <c r="M140" s="577"/>
      <c r="N140" s="577"/>
      <c r="O140" s="577"/>
      <c r="P140" s="577"/>
      <c r="Q140" s="577"/>
      <c r="R140" s="577"/>
      <c r="S140" s="577"/>
      <c r="T140" s="577"/>
      <c r="U140" s="577"/>
      <c r="V140" s="577"/>
      <c r="W140" s="577"/>
      <c r="X140" s="577"/>
      <c r="Y140" s="577"/>
      <c r="Z140" s="577"/>
      <c r="AA140" s="577"/>
      <c r="AB140" s="577"/>
      <c r="AC140" s="577"/>
      <c r="AD140" s="577"/>
      <c r="AE140" s="577"/>
      <c r="AF140" s="577"/>
      <c r="AG140" s="577"/>
      <c r="AH140" s="577"/>
      <c r="AI140" s="577"/>
      <c r="AJ140" s="577"/>
      <c r="AK140" s="577"/>
      <c r="AL140" s="577"/>
      <c r="AM140" s="577"/>
      <c r="AN140" s="577"/>
      <c r="AO140" s="577"/>
      <c r="AP140" s="577"/>
      <c r="AQ140" s="577"/>
      <c r="AR140" s="577"/>
      <c r="AS140" s="577"/>
      <c r="AT140" s="577"/>
      <c r="AU140" s="577"/>
      <c r="AV140" s="577"/>
      <c r="AW140" s="577"/>
      <c r="AX140" s="577"/>
      <c r="AY140" s="577"/>
      <c r="AZ140" s="577"/>
    </row>
    <row r="141" spans="1:52" ht="15.75" customHeight="1" x14ac:dyDescent="0.2">
      <c r="A141" s="577"/>
      <c r="B141" s="577"/>
      <c r="C141" s="577"/>
      <c r="D141" s="577"/>
      <c r="E141" s="577"/>
      <c r="F141" s="577"/>
      <c r="G141" s="577"/>
      <c r="H141" s="577"/>
      <c r="I141" s="577"/>
      <c r="J141" s="577"/>
      <c r="K141" s="577"/>
      <c r="L141" s="577"/>
      <c r="M141" s="577"/>
      <c r="N141" s="577"/>
      <c r="O141" s="577"/>
      <c r="P141" s="577"/>
      <c r="Q141" s="577"/>
      <c r="R141" s="577"/>
      <c r="S141" s="577"/>
      <c r="T141" s="577"/>
      <c r="U141" s="577"/>
      <c r="V141" s="577"/>
      <c r="W141" s="577"/>
      <c r="X141" s="577"/>
      <c r="Y141" s="577"/>
      <c r="Z141" s="577"/>
      <c r="AA141" s="577"/>
      <c r="AB141" s="577"/>
      <c r="AC141" s="577"/>
      <c r="AD141" s="577"/>
      <c r="AE141" s="577"/>
      <c r="AF141" s="577"/>
      <c r="AG141" s="577"/>
      <c r="AH141" s="577"/>
      <c r="AI141" s="577"/>
      <c r="AJ141" s="577"/>
      <c r="AK141" s="577"/>
      <c r="AL141" s="577"/>
      <c r="AM141" s="577"/>
      <c r="AN141" s="577"/>
      <c r="AO141" s="577"/>
      <c r="AP141" s="577"/>
      <c r="AQ141" s="577"/>
      <c r="AR141" s="577"/>
      <c r="AS141" s="577"/>
      <c r="AT141" s="577"/>
      <c r="AU141" s="577"/>
      <c r="AV141" s="577"/>
      <c r="AW141" s="577"/>
      <c r="AX141" s="577"/>
      <c r="AY141" s="577"/>
      <c r="AZ141" s="577"/>
    </row>
    <row r="142" spans="1:52" ht="15.75" customHeight="1" x14ac:dyDescent="0.2">
      <c r="A142" s="577"/>
      <c r="B142" s="577"/>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E142" s="577"/>
      <c r="AF142" s="577"/>
      <c r="AG142" s="577"/>
      <c r="AH142" s="577"/>
      <c r="AI142" s="577"/>
      <c r="AJ142" s="577"/>
      <c r="AK142" s="577"/>
      <c r="AL142" s="577"/>
      <c r="AM142" s="577"/>
      <c r="AN142" s="577"/>
      <c r="AO142" s="577"/>
      <c r="AP142" s="577"/>
      <c r="AQ142" s="577"/>
      <c r="AR142" s="577"/>
      <c r="AS142" s="577"/>
      <c r="AT142" s="577"/>
      <c r="AU142" s="577"/>
      <c r="AV142" s="577"/>
      <c r="AW142" s="577"/>
      <c r="AX142" s="577"/>
      <c r="AY142" s="577"/>
      <c r="AZ142" s="577"/>
    </row>
    <row r="143" spans="1:52" ht="15.75" customHeight="1" x14ac:dyDescent="0.2">
      <c r="A143" s="577"/>
      <c r="B143" s="577"/>
      <c r="C143" s="577"/>
      <c r="D143" s="577"/>
      <c r="E143" s="577"/>
      <c r="F143" s="577"/>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c r="AJ143" s="577"/>
      <c r="AK143" s="577"/>
      <c r="AL143" s="577"/>
      <c r="AM143" s="577"/>
      <c r="AN143" s="577"/>
      <c r="AO143" s="577"/>
      <c r="AP143" s="577"/>
      <c r="AQ143" s="577"/>
      <c r="AR143" s="577"/>
      <c r="AS143" s="577"/>
      <c r="AT143" s="577"/>
      <c r="AU143" s="577"/>
      <c r="AV143" s="577"/>
      <c r="AW143" s="577"/>
      <c r="AX143" s="577"/>
      <c r="AY143" s="577"/>
      <c r="AZ143" s="577"/>
    </row>
    <row r="144" spans="1:52" ht="15.75" customHeight="1" x14ac:dyDescent="0.2">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c r="AJ144" s="577"/>
      <c r="AK144" s="577"/>
      <c r="AL144" s="577"/>
      <c r="AM144" s="577"/>
      <c r="AN144" s="577"/>
      <c r="AO144" s="577"/>
      <c r="AP144" s="577"/>
      <c r="AQ144" s="577"/>
      <c r="AR144" s="577"/>
      <c r="AS144" s="577"/>
      <c r="AT144" s="577"/>
      <c r="AU144" s="577"/>
      <c r="AV144" s="577"/>
      <c r="AW144" s="577"/>
      <c r="AX144" s="577"/>
      <c r="AY144" s="577"/>
      <c r="AZ144" s="577"/>
    </row>
    <row r="145" spans="1:52" ht="15.75" customHeight="1" x14ac:dyDescent="0.2">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c r="AJ145" s="577"/>
      <c r="AK145" s="577"/>
      <c r="AL145" s="577"/>
      <c r="AM145" s="577"/>
      <c r="AN145" s="577"/>
      <c r="AO145" s="577"/>
      <c r="AP145" s="577"/>
      <c r="AQ145" s="577"/>
      <c r="AR145" s="577"/>
      <c r="AS145" s="577"/>
      <c r="AT145" s="577"/>
      <c r="AU145" s="577"/>
      <c r="AV145" s="577"/>
      <c r="AW145" s="577"/>
      <c r="AX145" s="577"/>
      <c r="AY145" s="577"/>
      <c r="AZ145" s="577"/>
    </row>
    <row r="146" spans="1:52" ht="15.75" customHeight="1" x14ac:dyDescent="0.2">
      <c r="A146" s="577"/>
      <c r="B146" s="577"/>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7"/>
      <c r="AO146" s="577"/>
      <c r="AP146" s="577"/>
      <c r="AQ146" s="577"/>
      <c r="AR146" s="577"/>
      <c r="AS146" s="577"/>
      <c r="AT146" s="577"/>
      <c r="AU146" s="577"/>
      <c r="AV146" s="577"/>
      <c r="AW146" s="577"/>
      <c r="AX146" s="577"/>
      <c r="AY146" s="577"/>
      <c r="AZ146" s="577"/>
    </row>
    <row r="147" spans="1:52" ht="15.75" customHeight="1" x14ac:dyDescent="0.2">
      <c r="A147" s="577"/>
      <c r="B147" s="577"/>
      <c r="C147" s="577"/>
      <c r="D147" s="577"/>
      <c r="E147" s="577"/>
      <c r="F147" s="577"/>
      <c r="G147" s="577"/>
      <c r="H147" s="577"/>
      <c r="I147" s="577"/>
      <c r="J147" s="577"/>
      <c r="K147" s="577"/>
      <c r="L147" s="577"/>
      <c r="M147" s="577"/>
      <c r="N147" s="577"/>
      <c r="O147" s="577"/>
      <c r="P147" s="577"/>
      <c r="Q147" s="577"/>
      <c r="R147" s="577"/>
      <c r="S147" s="577"/>
      <c r="T147" s="577"/>
      <c r="U147" s="577"/>
      <c r="V147" s="577"/>
      <c r="W147" s="577"/>
      <c r="X147" s="577"/>
      <c r="Y147" s="577"/>
      <c r="Z147" s="577"/>
      <c r="AA147" s="577"/>
      <c r="AB147" s="577"/>
      <c r="AC147" s="577"/>
      <c r="AD147" s="577"/>
      <c r="AE147" s="577"/>
      <c r="AF147" s="577"/>
      <c r="AG147" s="577"/>
      <c r="AH147" s="577"/>
      <c r="AI147" s="577"/>
      <c r="AJ147" s="577"/>
      <c r="AK147" s="577"/>
      <c r="AL147" s="577"/>
      <c r="AM147" s="577"/>
      <c r="AN147" s="577"/>
      <c r="AO147" s="577"/>
      <c r="AP147" s="577"/>
      <c r="AQ147" s="577"/>
      <c r="AR147" s="577"/>
      <c r="AS147" s="577"/>
      <c r="AT147" s="577"/>
      <c r="AU147" s="577"/>
      <c r="AV147" s="577"/>
      <c r="AW147" s="577"/>
      <c r="AX147" s="577"/>
      <c r="AY147" s="577"/>
      <c r="AZ147" s="577"/>
    </row>
    <row r="148" spans="1:52" ht="15.75" customHeight="1" x14ac:dyDescent="0.2">
      <c r="A148" s="577"/>
      <c r="B148" s="577"/>
      <c r="C148" s="577"/>
      <c r="D148" s="577"/>
      <c r="E148" s="577"/>
      <c r="F148" s="577"/>
      <c r="G148" s="577"/>
      <c r="H148" s="577"/>
      <c r="I148" s="577"/>
      <c r="J148" s="577"/>
      <c r="K148" s="577"/>
      <c r="L148" s="577"/>
      <c r="M148" s="577"/>
      <c r="N148" s="577"/>
      <c r="O148" s="577"/>
      <c r="P148" s="577"/>
      <c r="Q148" s="577"/>
      <c r="R148" s="577"/>
      <c r="S148" s="577"/>
      <c r="T148" s="577"/>
      <c r="U148" s="577"/>
      <c r="V148" s="577"/>
      <c r="W148" s="577"/>
      <c r="X148" s="577"/>
      <c r="Y148" s="577"/>
      <c r="Z148" s="577"/>
      <c r="AA148" s="577"/>
      <c r="AB148" s="577"/>
      <c r="AC148" s="577"/>
      <c r="AD148" s="577"/>
      <c r="AE148" s="577"/>
      <c r="AF148" s="577"/>
      <c r="AG148" s="577"/>
      <c r="AH148" s="577"/>
      <c r="AI148" s="577"/>
      <c r="AJ148" s="577"/>
      <c r="AK148" s="577"/>
      <c r="AL148" s="577"/>
      <c r="AM148" s="577"/>
      <c r="AN148" s="577"/>
      <c r="AO148" s="577"/>
      <c r="AP148" s="577"/>
      <c r="AQ148" s="577"/>
      <c r="AR148" s="577"/>
      <c r="AS148" s="577"/>
      <c r="AT148" s="577"/>
      <c r="AU148" s="577"/>
      <c r="AV148" s="577"/>
      <c r="AW148" s="577"/>
      <c r="AX148" s="577"/>
      <c r="AY148" s="577"/>
      <c r="AZ148" s="577"/>
    </row>
    <row r="149" spans="1:52" ht="15.75" customHeight="1" x14ac:dyDescent="0.2">
      <c r="A149" s="577"/>
      <c r="B149" s="577"/>
      <c r="C149" s="577"/>
      <c r="D149" s="577"/>
      <c r="E149" s="577"/>
      <c r="F149" s="577"/>
      <c r="G149" s="577"/>
      <c r="H149" s="577"/>
      <c r="I149" s="577"/>
      <c r="J149" s="577"/>
      <c r="K149" s="577"/>
      <c r="L149" s="577"/>
      <c r="M149" s="577"/>
      <c r="N149" s="577"/>
      <c r="O149" s="577"/>
      <c r="P149" s="577"/>
      <c r="Q149" s="577"/>
      <c r="R149" s="577"/>
      <c r="S149" s="577"/>
      <c r="T149" s="577"/>
      <c r="U149" s="577"/>
      <c r="V149" s="577"/>
      <c r="W149" s="577"/>
      <c r="X149" s="577"/>
      <c r="Y149" s="577"/>
      <c r="Z149" s="577"/>
      <c r="AA149" s="577"/>
      <c r="AB149" s="577"/>
      <c r="AC149" s="577"/>
      <c r="AD149" s="577"/>
      <c r="AE149" s="577"/>
      <c r="AF149" s="577"/>
      <c r="AG149" s="577"/>
      <c r="AH149" s="577"/>
      <c r="AI149" s="577"/>
      <c r="AJ149" s="577"/>
      <c r="AK149" s="577"/>
      <c r="AL149" s="577"/>
      <c r="AM149" s="577"/>
      <c r="AN149" s="577"/>
      <c r="AO149" s="577"/>
      <c r="AP149" s="577"/>
      <c r="AQ149" s="577"/>
      <c r="AR149" s="577"/>
      <c r="AS149" s="577"/>
      <c r="AT149" s="577"/>
      <c r="AU149" s="577"/>
      <c r="AV149" s="577"/>
      <c r="AW149" s="577"/>
      <c r="AX149" s="577"/>
      <c r="AY149" s="577"/>
      <c r="AZ149" s="577"/>
    </row>
    <row r="150" spans="1:52" ht="15.75" customHeight="1" x14ac:dyDescent="0.2">
      <c r="A150" s="577"/>
      <c r="B150" s="577"/>
      <c r="C150" s="577"/>
      <c r="D150" s="577"/>
      <c r="E150" s="577"/>
      <c r="F150" s="577"/>
      <c r="G150" s="577"/>
      <c r="H150" s="577"/>
      <c r="I150" s="577"/>
      <c r="J150" s="577"/>
      <c r="K150" s="577"/>
      <c r="L150" s="577"/>
      <c r="M150" s="577"/>
      <c r="N150" s="577"/>
      <c r="O150" s="577"/>
      <c r="P150" s="577"/>
      <c r="Q150" s="577"/>
      <c r="R150" s="577"/>
      <c r="S150" s="577"/>
      <c r="T150" s="577"/>
      <c r="U150" s="577"/>
      <c r="V150" s="577"/>
      <c r="W150" s="577"/>
      <c r="X150" s="577"/>
      <c r="Y150" s="577"/>
      <c r="Z150" s="577"/>
      <c r="AA150" s="577"/>
      <c r="AB150" s="577"/>
      <c r="AC150" s="577"/>
      <c r="AD150" s="577"/>
      <c r="AE150" s="577"/>
      <c r="AF150" s="577"/>
      <c r="AG150" s="577"/>
      <c r="AH150" s="577"/>
      <c r="AI150" s="577"/>
      <c r="AJ150" s="577"/>
      <c r="AK150" s="577"/>
      <c r="AL150" s="577"/>
      <c r="AM150" s="577"/>
      <c r="AN150" s="577"/>
      <c r="AO150" s="577"/>
      <c r="AP150" s="577"/>
      <c r="AQ150" s="577"/>
      <c r="AR150" s="577"/>
      <c r="AS150" s="577"/>
      <c r="AT150" s="577"/>
      <c r="AU150" s="577"/>
      <c r="AV150" s="577"/>
      <c r="AW150" s="577"/>
      <c r="AX150" s="577"/>
      <c r="AY150" s="577"/>
      <c r="AZ150" s="577"/>
    </row>
    <row r="151" spans="1:52" ht="15.75" customHeight="1" x14ac:dyDescent="0.2">
      <c r="A151" s="577"/>
      <c r="B151" s="577"/>
      <c r="C151" s="577"/>
      <c r="D151" s="577"/>
      <c r="E151" s="577"/>
      <c r="F151" s="577"/>
      <c r="G151" s="577"/>
      <c r="H151" s="577"/>
      <c r="I151" s="577"/>
      <c r="J151" s="577"/>
      <c r="K151" s="577"/>
      <c r="L151" s="577"/>
      <c r="M151" s="577"/>
      <c r="N151" s="577"/>
      <c r="O151" s="577"/>
      <c r="P151" s="577"/>
      <c r="Q151" s="577"/>
      <c r="R151" s="577"/>
      <c r="S151" s="577"/>
      <c r="T151" s="577"/>
      <c r="U151" s="577"/>
      <c r="V151" s="577"/>
      <c r="W151" s="577"/>
      <c r="X151" s="577"/>
      <c r="Y151" s="577"/>
      <c r="Z151" s="577"/>
      <c r="AA151" s="577"/>
      <c r="AB151" s="577"/>
      <c r="AC151" s="577"/>
      <c r="AD151" s="577"/>
      <c r="AE151" s="577"/>
      <c r="AF151" s="577"/>
      <c r="AG151" s="577"/>
      <c r="AH151" s="577"/>
      <c r="AI151" s="577"/>
      <c r="AJ151" s="577"/>
      <c r="AK151" s="577"/>
      <c r="AL151" s="577"/>
      <c r="AM151" s="577"/>
      <c r="AN151" s="577"/>
      <c r="AO151" s="577"/>
      <c r="AP151" s="577"/>
      <c r="AQ151" s="577"/>
      <c r="AR151" s="577"/>
      <c r="AS151" s="577"/>
      <c r="AT151" s="577"/>
      <c r="AU151" s="577"/>
      <c r="AV151" s="577"/>
      <c r="AW151" s="577"/>
      <c r="AX151" s="577"/>
      <c r="AY151" s="577"/>
      <c r="AZ151" s="577"/>
    </row>
    <row r="152" spans="1:52" ht="15.75" customHeight="1" x14ac:dyDescent="0.2">
      <c r="A152" s="577"/>
      <c r="B152" s="577"/>
      <c r="C152" s="577"/>
      <c r="D152" s="577"/>
      <c r="E152" s="577"/>
      <c r="F152" s="577"/>
      <c r="G152" s="577"/>
      <c r="H152" s="577"/>
      <c r="I152" s="577"/>
      <c r="J152" s="577"/>
      <c r="K152" s="577"/>
      <c r="L152" s="577"/>
      <c r="M152" s="577"/>
      <c r="N152" s="577"/>
      <c r="O152" s="577"/>
      <c r="P152" s="577"/>
      <c r="Q152" s="577"/>
      <c r="R152" s="577"/>
      <c r="S152" s="577"/>
      <c r="T152" s="577"/>
      <c r="U152" s="577"/>
      <c r="V152" s="577"/>
      <c r="W152" s="577"/>
      <c r="X152" s="577"/>
      <c r="Y152" s="577"/>
      <c r="Z152" s="577"/>
      <c r="AA152" s="577"/>
      <c r="AB152" s="577"/>
      <c r="AC152" s="577"/>
      <c r="AD152" s="577"/>
      <c r="AE152" s="577"/>
      <c r="AF152" s="577"/>
      <c r="AG152" s="577"/>
      <c r="AH152" s="577"/>
      <c r="AI152" s="577"/>
      <c r="AJ152" s="577"/>
      <c r="AK152" s="577"/>
      <c r="AL152" s="577"/>
      <c r="AM152" s="577"/>
      <c r="AN152" s="577"/>
      <c r="AO152" s="577"/>
      <c r="AP152" s="577"/>
      <c r="AQ152" s="577"/>
      <c r="AR152" s="577"/>
      <c r="AS152" s="577"/>
      <c r="AT152" s="577"/>
      <c r="AU152" s="577"/>
      <c r="AV152" s="577"/>
      <c r="AW152" s="577"/>
      <c r="AX152" s="577"/>
      <c r="AY152" s="577"/>
      <c r="AZ152" s="577"/>
    </row>
    <row r="153" spans="1:52" ht="15.75" customHeight="1" x14ac:dyDescent="0.2">
      <c r="A153" s="577"/>
      <c r="B153" s="577"/>
      <c r="C153" s="577"/>
      <c r="D153" s="577"/>
      <c r="E153" s="577"/>
      <c r="F153" s="577"/>
      <c r="G153" s="577"/>
      <c r="H153" s="577"/>
      <c r="I153" s="577"/>
      <c r="J153" s="577"/>
      <c r="K153" s="577"/>
      <c r="L153" s="577"/>
      <c r="M153" s="577"/>
      <c r="N153" s="577"/>
      <c r="O153" s="577"/>
      <c r="P153" s="577"/>
      <c r="Q153" s="577"/>
      <c r="R153" s="577"/>
      <c r="S153" s="577"/>
      <c r="T153" s="577"/>
      <c r="U153" s="577"/>
      <c r="V153" s="577"/>
      <c r="W153" s="577"/>
      <c r="X153" s="577"/>
      <c r="Y153" s="577"/>
      <c r="Z153" s="577"/>
      <c r="AA153" s="577"/>
      <c r="AB153" s="577"/>
      <c r="AC153" s="577"/>
      <c r="AD153" s="577"/>
      <c r="AE153" s="577"/>
      <c r="AF153" s="577"/>
      <c r="AG153" s="577"/>
      <c r="AH153" s="577"/>
      <c r="AI153" s="577"/>
      <c r="AJ153" s="577"/>
      <c r="AK153" s="577"/>
      <c r="AL153" s="577"/>
      <c r="AM153" s="577"/>
      <c r="AN153" s="577"/>
      <c r="AO153" s="577"/>
      <c r="AP153" s="577"/>
      <c r="AQ153" s="577"/>
      <c r="AR153" s="577"/>
      <c r="AS153" s="577"/>
      <c r="AT153" s="577"/>
      <c r="AU153" s="577"/>
      <c r="AV153" s="577"/>
      <c r="AW153" s="577"/>
      <c r="AX153" s="577"/>
      <c r="AY153" s="577"/>
      <c r="AZ153" s="577"/>
    </row>
    <row r="154" spans="1:52" ht="15.75" customHeight="1" x14ac:dyDescent="0.2">
      <c r="A154" s="577"/>
      <c r="B154" s="577"/>
      <c r="C154" s="577"/>
      <c r="D154" s="577"/>
      <c r="E154" s="577"/>
      <c r="F154" s="577"/>
      <c r="G154" s="577"/>
      <c r="H154" s="577"/>
      <c r="I154" s="577"/>
      <c r="J154" s="577"/>
      <c r="K154" s="577"/>
      <c r="L154" s="577"/>
      <c r="M154" s="577"/>
      <c r="N154" s="577"/>
      <c r="O154" s="577"/>
      <c r="P154" s="577"/>
      <c r="Q154" s="577"/>
      <c r="R154" s="577"/>
      <c r="S154" s="577"/>
      <c r="T154" s="577"/>
      <c r="U154" s="577"/>
      <c r="V154" s="577"/>
      <c r="W154" s="577"/>
      <c r="X154" s="577"/>
      <c r="Y154" s="577"/>
      <c r="Z154" s="577"/>
      <c r="AA154" s="577"/>
      <c r="AB154" s="577"/>
      <c r="AC154" s="577"/>
      <c r="AD154" s="577"/>
      <c r="AE154" s="577"/>
      <c r="AF154" s="577"/>
      <c r="AG154" s="577"/>
      <c r="AH154" s="577"/>
      <c r="AI154" s="577"/>
      <c r="AJ154" s="577"/>
      <c r="AK154" s="577"/>
      <c r="AL154" s="577"/>
      <c r="AM154" s="577"/>
      <c r="AN154" s="577"/>
      <c r="AO154" s="577"/>
      <c r="AP154" s="577"/>
      <c r="AQ154" s="577"/>
      <c r="AR154" s="577"/>
      <c r="AS154" s="577"/>
      <c r="AT154" s="577"/>
      <c r="AU154" s="577"/>
      <c r="AV154" s="577"/>
      <c r="AW154" s="577"/>
      <c r="AX154" s="577"/>
      <c r="AY154" s="577"/>
      <c r="AZ154" s="577"/>
    </row>
    <row r="155" spans="1:52" ht="15.75" customHeight="1" x14ac:dyDescent="0.2">
      <c r="A155" s="577"/>
      <c r="B155" s="577"/>
      <c r="C155" s="577"/>
      <c r="D155" s="577"/>
      <c r="E155" s="577"/>
      <c r="F155" s="577"/>
      <c r="G155" s="577"/>
      <c r="H155" s="577"/>
      <c r="I155" s="577"/>
      <c r="J155" s="577"/>
      <c r="K155" s="577"/>
      <c r="L155" s="577"/>
      <c r="M155" s="577"/>
      <c r="N155" s="577"/>
      <c r="O155" s="577"/>
      <c r="P155" s="577"/>
      <c r="Q155" s="577"/>
      <c r="R155" s="577"/>
      <c r="S155" s="577"/>
      <c r="T155" s="577"/>
      <c r="U155" s="577"/>
      <c r="V155" s="577"/>
      <c r="W155" s="577"/>
      <c r="X155" s="577"/>
      <c r="Y155" s="577"/>
      <c r="Z155" s="577"/>
      <c r="AA155" s="577"/>
      <c r="AB155" s="577"/>
      <c r="AC155" s="577"/>
      <c r="AD155" s="577"/>
      <c r="AE155" s="577"/>
      <c r="AF155" s="577"/>
      <c r="AG155" s="577"/>
      <c r="AH155" s="577"/>
      <c r="AI155" s="577"/>
      <c r="AJ155" s="577"/>
      <c r="AK155" s="577"/>
      <c r="AL155" s="577"/>
      <c r="AM155" s="577"/>
      <c r="AN155" s="577"/>
      <c r="AO155" s="577"/>
      <c r="AP155" s="577"/>
      <c r="AQ155" s="577"/>
      <c r="AR155" s="577"/>
      <c r="AS155" s="577"/>
      <c r="AT155" s="577"/>
      <c r="AU155" s="577"/>
      <c r="AV155" s="577"/>
      <c r="AW155" s="577"/>
      <c r="AX155" s="577"/>
      <c r="AY155" s="577"/>
      <c r="AZ155" s="577"/>
    </row>
    <row r="156" spans="1:52" ht="15.75" customHeight="1" x14ac:dyDescent="0.2">
      <c r="A156" s="577"/>
      <c r="B156" s="577"/>
      <c r="C156" s="577"/>
      <c r="D156" s="577"/>
      <c r="E156" s="577"/>
      <c r="F156" s="577"/>
      <c r="G156" s="577"/>
      <c r="H156" s="577"/>
      <c r="I156" s="577"/>
      <c r="J156" s="577"/>
      <c r="K156" s="577"/>
      <c r="L156" s="577"/>
      <c r="M156" s="577"/>
      <c r="N156" s="577"/>
      <c r="O156" s="577"/>
      <c r="P156" s="577"/>
      <c r="Q156" s="577"/>
      <c r="R156" s="577"/>
      <c r="S156" s="577"/>
      <c r="T156" s="577"/>
      <c r="U156" s="577"/>
      <c r="V156" s="577"/>
      <c r="W156" s="577"/>
      <c r="X156" s="577"/>
      <c r="Y156" s="577"/>
      <c r="Z156" s="577"/>
      <c r="AA156" s="577"/>
      <c r="AB156" s="577"/>
      <c r="AC156" s="577"/>
      <c r="AD156" s="577"/>
      <c r="AE156" s="577"/>
      <c r="AF156" s="577"/>
      <c r="AG156" s="577"/>
      <c r="AH156" s="577"/>
      <c r="AI156" s="577"/>
      <c r="AJ156" s="577"/>
      <c r="AK156" s="577"/>
      <c r="AL156" s="577"/>
      <c r="AM156" s="577"/>
      <c r="AN156" s="577"/>
      <c r="AO156" s="577"/>
      <c r="AP156" s="577"/>
      <c r="AQ156" s="577"/>
      <c r="AR156" s="577"/>
      <c r="AS156" s="577"/>
      <c r="AT156" s="577"/>
      <c r="AU156" s="577"/>
      <c r="AV156" s="577"/>
      <c r="AW156" s="577"/>
      <c r="AX156" s="577"/>
      <c r="AY156" s="577"/>
      <c r="AZ156" s="577"/>
    </row>
    <row r="157" spans="1:52" ht="15.75" customHeight="1" x14ac:dyDescent="0.2">
      <c r="A157" s="577"/>
      <c r="B157" s="577"/>
      <c r="C157" s="577"/>
      <c r="D157" s="577"/>
      <c r="E157" s="577"/>
      <c r="F157" s="577"/>
      <c r="G157" s="577"/>
      <c r="H157" s="577"/>
      <c r="I157" s="577"/>
      <c r="J157" s="577"/>
      <c r="K157" s="577"/>
      <c r="L157" s="577"/>
      <c r="M157" s="577"/>
      <c r="N157" s="577"/>
      <c r="O157" s="577"/>
      <c r="P157" s="577"/>
      <c r="Q157" s="577"/>
      <c r="R157" s="577"/>
      <c r="S157" s="577"/>
      <c r="T157" s="577"/>
      <c r="U157" s="577"/>
      <c r="V157" s="577"/>
      <c r="W157" s="577"/>
      <c r="X157" s="577"/>
      <c r="Y157" s="577"/>
      <c r="Z157" s="577"/>
      <c r="AA157" s="577"/>
      <c r="AB157" s="577"/>
      <c r="AC157" s="577"/>
      <c r="AD157" s="577"/>
      <c r="AE157" s="577"/>
      <c r="AF157" s="577"/>
      <c r="AG157" s="577"/>
      <c r="AH157" s="577"/>
      <c r="AI157" s="577"/>
      <c r="AJ157" s="577"/>
      <c r="AK157" s="577"/>
      <c r="AL157" s="577"/>
      <c r="AM157" s="577"/>
      <c r="AN157" s="577"/>
      <c r="AO157" s="577"/>
      <c r="AP157" s="577"/>
      <c r="AQ157" s="577"/>
      <c r="AR157" s="577"/>
      <c r="AS157" s="577"/>
      <c r="AT157" s="577"/>
      <c r="AU157" s="577"/>
      <c r="AV157" s="577"/>
      <c r="AW157" s="577"/>
      <c r="AX157" s="577"/>
      <c r="AY157" s="577"/>
      <c r="AZ157" s="577"/>
    </row>
    <row r="158" spans="1:52" ht="15.75" customHeight="1" x14ac:dyDescent="0.2">
      <c r="A158" s="577"/>
      <c r="B158" s="577"/>
      <c r="C158" s="577"/>
      <c r="D158" s="577"/>
      <c r="E158" s="577"/>
      <c r="F158" s="577"/>
      <c r="G158" s="577"/>
      <c r="H158" s="577"/>
      <c r="I158" s="577"/>
      <c r="J158" s="577"/>
      <c r="K158" s="577"/>
      <c r="L158" s="577"/>
      <c r="M158" s="577"/>
      <c r="N158" s="577"/>
      <c r="O158" s="577"/>
      <c r="P158" s="577"/>
      <c r="Q158" s="577"/>
      <c r="R158" s="577"/>
      <c r="S158" s="577"/>
      <c r="T158" s="577"/>
      <c r="U158" s="577"/>
      <c r="V158" s="577"/>
      <c r="W158" s="577"/>
      <c r="X158" s="577"/>
      <c r="Y158" s="577"/>
      <c r="Z158" s="577"/>
      <c r="AA158" s="577"/>
      <c r="AB158" s="577"/>
      <c r="AC158" s="577"/>
      <c r="AD158" s="577"/>
      <c r="AE158" s="577"/>
      <c r="AF158" s="577"/>
      <c r="AG158" s="577"/>
      <c r="AH158" s="577"/>
      <c r="AI158" s="577"/>
      <c r="AJ158" s="577"/>
      <c r="AK158" s="577"/>
      <c r="AL158" s="577"/>
      <c r="AM158" s="577"/>
      <c r="AN158" s="577"/>
      <c r="AO158" s="577"/>
      <c r="AP158" s="577"/>
      <c r="AQ158" s="577"/>
      <c r="AR158" s="577"/>
      <c r="AS158" s="577"/>
      <c r="AT158" s="577"/>
      <c r="AU158" s="577"/>
      <c r="AV158" s="577"/>
      <c r="AW158" s="577"/>
      <c r="AX158" s="577"/>
      <c r="AY158" s="577"/>
      <c r="AZ158" s="577"/>
    </row>
    <row r="159" spans="1:52" ht="15.75" customHeight="1" x14ac:dyDescent="0.2">
      <c r="A159" s="577"/>
      <c r="B159" s="577"/>
      <c r="C159" s="577"/>
      <c r="D159" s="577"/>
      <c r="E159" s="577"/>
      <c r="F159" s="577"/>
      <c r="G159" s="577"/>
      <c r="H159" s="577"/>
      <c r="I159" s="577"/>
      <c r="J159" s="577"/>
      <c r="K159" s="577"/>
      <c r="L159" s="577"/>
      <c r="M159" s="577"/>
      <c r="N159" s="577"/>
      <c r="O159" s="577"/>
      <c r="P159" s="577"/>
      <c r="Q159" s="577"/>
      <c r="R159" s="577"/>
      <c r="S159" s="577"/>
      <c r="T159" s="577"/>
      <c r="U159" s="577"/>
      <c r="V159" s="577"/>
      <c r="W159" s="577"/>
      <c r="X159" s="577"/>
      <c r="Y159" s="577"/>
      <c r="Z159" s="577"/>
      <c r="AA159" s="577"/>
      <c r="AB159" s="577"/>
      <c r="AC159" s="577"/>
      <c r="AD159" s="577"/>
      <c r="AE159" s="577"/>
      <c r="AF159" s="577"/>
      <c r="AG159" s="577"/>
      <c r="AH159" s="577"/>
      <c r="AI159" s="577"/>
      <c r="AJ159" s="577"/>
      <c r="AK159" s="577"/>
      <c r="AL159" s="577"/>
      <c r="AM159" s="577"/>
      <c r="AN159" s="577"/>
      <c r="AO159" s="577"/>
      <c r="AP159" s="577"/>
      <c r="AQ159" s="577"/>
      <c r="AR159" s="577"/>
      <c r="AS159" s="577"/>
      <c r="AT159" s="577"/>
      <c r="AU159" s="577"/>
      <c r="AV159" s="577"/>
      <c r="AW159" s="577"/>
      <c r="AX159" s="577"/>
      <c r="AY159" s="577"/>
      <c r="AZ159" s="577"/>
    </row>
    <row r="160" spans="1:52" ht="15.75" customHeight="1" x14ac:dyDescent="0.2">
      <c r="A160" s="577"/>
      <c r="B160" s="577"/>
      <c r="C160" s="577"/>
      <c r="D160" s="577"/>
      <c r="E160" s="577"/>
      <c r="F160" s="577"/>
      <c r="G160" s="577"/>
      <c r="H160" s="577"/>
      <c r="I160" s="577"/>
      <c r="J160" s="577"/>
      <c r="K160" s="577"/>
      <c r="L160" s="577"/>
      <c r="M160" s="577"/>
      <c r="N160" s="577"/>
      <c r="O160" s="577"/>
      <c r="P160" s="577"/>
      <c r="Q160" s="577"/>
      <c r="R160" s="577"/>
      <c r="S160" s="577"/>
      <c r="T160" s="577"/>
      <c r="U160" s="577"/>
      <c r="V160" s="577"/>
      <c r="W160" s="577"/>
      <c r="X160" s="577"/>
      <c r="Y160" s="577"/>
      <c r="Z160" s="577"/>
      <c r="AA160" s="577"/>
      <c r="AB160" s="577"/>
      <c r="AC160" s="577"/>
      <c r="AD160" s="577"/>
      <c r="AE160" s="577"/>
      <c r="AF160" s="577"/>
      <c r="AG160" s="577"/>
      <c r="AH160" s="577"/>
      <c r="AI160" s="577"/>
      <c r="AJ160" s="577"/>
      <c r="AK160" s="577"/>
      <c r="AL160" s="577"/>
      <c r="AM160" s="577"/>
      <c r="AN160" s="577"/>
      <c r="AO160" s="577"/>
      <c r="AP160" s="577"/>
      <c r="AQ160" s="577"/>
      <c r="AR160" s="577"/>
      <c r="AS160" s="577"/>
      <c r="AT160" s="577"/>
      <c r="AU160" s="577"/>
      <c r="AV160" s="577"/>
      <c r="AW160" s="577"/>
      <c r="AX160" s="577"/>
      <c r="AY160" s="577"/>
      <c r="AZ160" s="577"/>
    </row>
    <row r="161" spans="1:52" ht="15.75" customHeight="1" x14ac:dyDescent="0.2">
      <c r="A161" s="577"/>
      <c r="B161" s="577"/>
      <c r="C161" s="577"/>
      <c r="D161" s="577"/>
      <c r="E161" s="577"/>
      <c r="F161" s="577"/>
      <c r="G161" s="577"/>
      <c r="H161" s="577"/>
      <c r="I161" s="577"/>
      <c r="J161" s="577"/>
      <c r="K161" s="577"/>
      <c r="L161" s="577"/>
      <c r="M161" s="577"/>
      <c r="N161" s="577"/>
      <c r="O161" s="577"/>
      <c r="P161" s="577"/>
      <c r="Q161" s="577"/>
      <c r="R161" s="577"/>
      <c r="S161" s="577"/>
      <c r="T161" s="577"/>
      <c r="U161" s="577"/>
      <c r="V161" s="577"/>
      <c r="W161" s="577"/>
      <c r="X161" s="577"/>
      <c r="Y161" s="577"/>
      <c r="Z161" s="577"/>
      <c r="AA161" s="577"/>
      <c r="AB161" s="577"/>
      <c r="AC161" s="577"/>
      <c r="AD161" s="577"/>
      <c r="AE161" s="577"/>
      <c r="AF161" s="577"/>
      <c r="AG161" s="577"/>
      <c r="AH161" s="577"/>
      <c r="AI161" s="577"/>
      <c r="AJ161" s="577"/>
      <c r="AK161" s="577"/>
      <c r="AL161" s="577"/>
      <c r="AM161" s="577"/>
      <c r="AN161" s="577"/>
      <c r="AO161" s="577"/>
      <c r="AP161" s="577"/>
      <c r="AQ161" s="577"/>
      <c r="AR161" s="577"/>
      <c r="AS161" s="577"/>
      <c r="AT161" s="577"/>
      <c r="AU161" s="577"/>
      <c r="AV161" s="577"/>
      <c r="AW161" s="577"/>
      <c r="AX161" s="577"/>
      <c r="AY161" s="577"/>
      <c r="AZ161" s="577"/>
    </row>
    <row r="162" spans="1:52" ht="15.75" customHeight="1" x14ac:dyDescent="0.2">
      <c r="A162" s="577"/>
      <c r="B162" s="577"/>
      <c r="C162" s="577"/>
      <c r="D162" s="577"/>
      <c r="E162" s="577"/>
      <c r="F162" s="577"/>
      <c r="G162" s="577"/>
      <c r="H162" s="577"/>
      <c r="I162" s="577"/>
      <c r="J162" s="577"/>
      <c r="K162" s="577"/>
      <c r="L162" s="577"/>
      <c r="M162" s="577"/>
      <c r="N162" s="577"/>
      <c r="O162" s="577"/>
      <c r="P162" s="577"/>
      <c r="Q162" s="577"/>
      <c r="R162" s="577"/>
      <c r="S162" s="577"/>
      <c r="T162" s="577"/>
      <c r="U162" s="577"/>
      <c r="V162" s="577"/>
      <c r="W162" s="577"/>
      <c r="X162" s="577"/>
      <c r="Y162" s="577"/>
      <c r="Z162" s="577"/>
      <c r="AA162" s="577"/>
      <c r="AB162" s="577"/>
      <c r="AC162" s="577"/>
      <c r="AD162" s="577"/>
      <c r="AE162" s="577"/>
      <c r="AF162" s="577"/>
      <c r="AG162" s="577"/>
      <c r="AH162" s="577"/>
      <c r="AI162" s="577"/>
      <c r="AJ162" s="577"/>
      <c r="AK162" s="577"/>
      <c r="AL162" s="577"/>
      <c r="AM162" s="577"/>
      <c r="AN162" s="577"/>
      <c r="AO162" s="577"/>
      <c r="AP162" s="577"/>
      <c r="AQ162" s="577"/>
      <c r="AR162" s="577"/>
      <c r="AS162" s="577"/>
      <c r="AT162" s="577"/>
      <c r="AU162" s="577"/>
      <c r="AV162" s="577"/>
      <c r="AW162" s="577"/>
      <c r="AX162" s="577"/>
      <c r="AY162" s="577"/>
      <c r="AZ162" s="577"/>
    </row>
    <row r="163" spans="1:52" ht="15.75" customHeight="1" x14ac:dyDescent="0.2">
      <c r="A163" s="577"/>
      <c r="B163" s="577"/>
      <c r="C163" s="577"/>
      <c r="D163" s="577"/>
      <c r="E163" s="577"/>
      <c r="F163" s="577"/>
      <c r="G163" s="577"/>
      <c r="H163" s="577"/>
      <c r="I163" s="577"/>
      <c r="J163" s="577"/>
      <c r="K163" s="577"/>
      <c r="L163" s="577"/>
      <c r="M163" s="577"/>
      <c r="N163" s="577"/>
      <c r="O163" s="577"/>
      <c r="P163" s="577"/>
      <c r="Q163" s="577"/>
      <c r="R163" s="577"/>
      <c r="S163" s="577"/>
      <c r="T163" s="577"/>
      <c r="U163" s="577"/>
      <c r="V163" s="577"/>
      <c r="W163" s="577"/>
      <c r="X163" s="577"/>
      <c r="Y163" s="577"/>
      <c r="Z163" s="577"/>
      <c r="AA163" s="577"/>
      <c r="AB163" s="577"/>
      <c r="AC163" s="577"/>
      <c r="AD163" s="577"/>
      <c r="AE163" s="577"/>
      <c r="AF163" s="577"/>
      <c r="AG163" s="577"/>
      <c r="AH163" s="577"/>
      <c r="AI163" s="577"/>
      <c r="AJ163" s="577"/>
      <c r="AK163" s="577"/>
      <c r="AL163" s="577"/>
      <c r="AM163" s="577"/>
      <c r="AN163" s="577"/>
      <c r="AO163" s="577"/>
      <c r="AP163" s="577"/>
      <c r="AQ163" s="577"/>
      <c r="AR163" s="577"/>
      <c r="AS163" s="577"/>
      <c r="AT163" s="577"/>
      <c r="AU163" s="577"/>
      <c r="AV163" s="577"/>
      <c r="AW163" s="577"/>
      <c r="AX163" s="577"/>
      <c r="AY163" s="577"/>
      <c r="AZ163" s="577"/>
    </row>
    <row r="164" spans="1:52" ht="15.75" customHeight="1" x14ac:dyDescent="0.2">
      <c r="A164" s="577"/>
      <c r="B164" s="577"/>
      <c r="C164" s="577"/>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577"/>
      <c r="AV164" s="577"/>
      <c r="AW164" s="577"/>
      <c r="AX164" s="577"/>
      <c r="AY164" s="577"/>
      <c r="AZ164" s="577"/>
    </row>
    <row r="165" spans="1:52" ht="15.75" customHeight="1" x14ac:dyDescent="0.2">
      <c r="A165" s="577"/>
      <c r="B165" s="577"/>
      <c r="C165" s="577"/>
      <c r="D165" s="577"/>
      <c r="E165" s="577"/>
      <c r="F165" s="577"/>
      <c r="G165" s="577"/>
      <c r="H165" s="577"/>
      <c r="I165" s="577"/>
      <c r="J165" s="577"/>
      <c r="K165" s="577"/>
      <c r="L165" s="577"/>
      <c r="M165" s="577"/>
      <c r="N165" s="577"/>
      <c r="O165" s="577"/>
      <c r="P165" s="577"/>
      <c r="Q165" s="577"/>
      <c r="R165" s="577"/>
      <c r="S165" s="577"/>
      <c r="T165" s="577"/>
      <c r="U165" s="577"/>
      <c r="V165" s="577"/>
      <c r="W165" s="577"/>
      <c r="X165" s="57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577"/>
      <c r="AV165" s="577"/>
      <c r="AW165" s="577"/>
      <c r="AX165" s="577"/>
      <c r="AY165" s="577"/>
      <c r="AZ165" s="577"/>
    </row>
    <row r="166" spans="1:52" ht="15.75" customHeight="1" x14ac:dyDescent="0.2">
      <c r="A166" s="577"/>
      <c r="B166" s="577"/>
      <c r="C166" s="577"/>
      <c r="D166" s="577"/>
      <c r="E166" s="577"/>
      <c r="F166" s="577"/>
      <c r="G166" s="577"/>
      <c r="H166" s="577"/>
      <c r="I166" s="577"/>
      <c r="J166" s="577"/>
      <c r="K166" s="577"/>
      <c r="L166" s="577"/>
      <c r="M166" s="577"/>
      <c r="N166" s="577"/>
      <c r="O166" s="577"/>
      <c r="P166" s="577"/>
      <c r="Q166" s="577"/>
      <c r="R166" s="577"/>
      <c r="S166" s="577"/>
      <c r="T166" s="577"/>
      <c r="U166" s="577"/>
      <c r="V166" s="577"/>
      <c r="W166" s="577"/>
      <c r="X166" s="577"/>
      <c r="Y166" s="577"/>
      <c r="Z166" s="577"/>
      <c r="AA166" s="577"/>
      <c r="AB166" s="577"/>
      <c r="AC166" s="577"/>
      <c r="AD166" s="577"/>
      <c r="AE166" s="577"/>
      <c r="AF166" s="577"/>
      <c r="AG166" s="577"/>
      <c r="AH166" s="577"/>
      <c r="AI166" s="577"/>
      <c r="AJ166" s="577"/>
      <c r="AK166" s="577"/>
      <c r="AL166" s="577"/>
      <c r="AM166" s="577"/>
      <c r="AN166" s="577"/>
      <c r="AO166" s="577"/>
      <c r="AP166" s="577"/>
      <c r="AQ166" s="577"/>
      <c r="AR166" s="577"/>
      <c r="AS166" s="577"/>
      <c r="AT166" s="577"/>
      <c r="AU166" s="577"/>
      <c r="AV166" s="577"/>
      <c r="AW166" s="577"/>
      <c r="AX166" s="577"/>
      <c r="AY166" s="577"/>
      <c r="AZ166" s="577"/>
    </row>
    <row r="167" spans="1:52" ht="15.75" customHeight="1" x14ac:dyDescent="0.2">
      <c r="A167" s="577"/>
      <c r="B167" s="577"/>
      <c r="C167" s="577"/>
      <c r="D167" s="577"/>
      <c r="E167" s="577"/>
      <c r="F167" s="577"/>
      <c r="G167" s="577"/>
      <c r="H167" s="577"/>
      <c r="I167" s="577"/>
      <c r="J167" s="577"/>
      <c r="K167" s="577"/>
      <c r="L167" s="577"/>
      <c r="M167" s="577"/>
      <c r="N167" s="577"/>
      <c r="O167" s="577"/>
      <c r="P167" s="577"/>
      <c r="Q167" s="577"/>
      <c r="R167" s="577"/>
      <c r="S167" s="577"/>
      <c r="T167" s="577"/>
      <c r="U167" s="577"/>
      <c r="V167" s="577"/>
      <c r="W167" s="577"/>
      <c r="X167" s="577"/>
      <c r="Y167" s="577"/>
      <c r="Z167" s="577"/>
      <c r="AA167" s="577"/>
      <c r="AB167" s="577"/>
      <c r="AC167" s="577"/>
      <c r="AD167" s="577"/>
      <c r="AE167" s="577"/>
      <c r="AF167" s="577"/>
      <c r="AG167" s="577"/>
      <c r="AH167" s="577"/>
      <c r="AI167" s="577"/>
      <c r="AJ167" s="577"/>
      <c r="AK167" s="577"/>
      <c r="AL167" s="577"/>
      <c r="AM167" s="577"/>
      <c r="AN167" s="577"/>
      <c r="AO167" s="577"/>
      <c r="AP167" s="577"/>
      <c r="AQ167" s="577"/>
      <c r="AR167" s="577"/>
      <c r="AS167" s="577"/>
      <c r="AT167" s="577"/>
      <c r="AU167" s="577"/>
      <c r="AV167" s="577"/>
      <c r="AW167" s="577"/>
      <c r="AX167" s="577"/>
      <c r="AY167" s="577"/>
      <c r="AZ167" s="577"/>
    </row>
    <row r="168" spans="1:52" ht="15.75" customHeight="1" x14ac:dyDescent="0.2">
      <c r="A168" s="577"/>
      <c r="B168" s="577"/>
      <c r="C168" s="577"/>
      <c r="D168" s="577"/>
      <c r="E168" s="577"/>
      <c r="F168" s="577"/>
      <c r="G168" s="577"/>
      <c r="H168" s="577"/>
      <c r="I168" s="577"/>
      <c r="J168" s="577"/>
      <c r="K168" s="577"/>
      <c r="L168" s="577"/>
      <c r="M168" s="577"/>
      <c r="N168" s="577"/>
      <c r="O168" s="577"/>
      <c r="P168" s="577"/>
      <c r="Q168" s="577"/>
      <c r="R168" s="577"/>
      <c r="S168" s="577"/>
      <c r="T168" s="577"/>
      <c r="U168" s="577"/>
      <c r="V168" s="577"/>
      <c r="W168" s="577"/>
      <c r="X168" s="577"/>
      <c r="Y168" s="577"/>
      <c r="Z168" s="577"/>
      <c r="AA168" s="577"/>
      <c r="AB168" s="577"/>
      <c r="AC168" s="577"/>
      <c r="AD168" s="577"/>
      <c r="AE168" s="577"/>
      <c r="AF168" s="577"/>
      <c r="AG168" s="577"/>
      <c r="AH168" s="577"/>
      <c r="AI168" s="577"/>
      <c r="AJ168" s="577"/>
      <c r="AK168" s="577"/>
      <c r="AL168" s="577"/>
      <c r="AM168" s="577"/>
      <c r="AN168" s="577"/>
      <c r="AO168" s="577"/>
      <c r="AP168" s="577"/>
      <c r="AQ168" s="577"/>
      <c r="AR168" s="577"/>
      <c r="AS168" s="577"/>
      <c r="AT168" s="577"/>
      <c r="AU168" s="577"/>
      <c r="AV168" s="577"/>
      <c r="AW168" s="577"/>
      <c r="AX168" s="577"/>
      <c r="AY168" s="577"/>
      <c r="AZ168" s="577"/>
    </row>
    <row r="169" spans="1:52" ht="15.75" customHeight="1" x14ac:dyDescent="0.2">
      <c r="A169" s="577"/>
      <c r="B169" s="577"/>
      <c r="C169" s="577"/>
      <c r="D169" s="577"/>
      <c r="E169" s="577"/>
      <c r="F169" s="577"/>
      <c r="G169" s="577"/>
      <c r="H169" s="577"/>
      <c r="I169" s="577"/>
      <c r="J169" s="577"/>
      <c r="K169" s="577"/>
      <c r="L169" s="577"/>
      <c r="M169" s="577"/>
      <c r="N169" s="577"/>
      <c r="O169" s="577"/>
      <c r="P169" s="577"/>
      <c r="Q169" s="577"/>
      <c r="R169" s="577"/>
      <c r="S169" s="577"/>
      <c r="T169" s="577"/>
      <c r="U169" s="577"/>
      <c r="V169" s="577"/>
      <c r="W169" s="577"/>
      <c r="X169" s="577"/>
      <c r="Y169" s="577"/>
      <c r="Z169" s="577"/>
      <c r="AA169" s="577"/>
      <c r="AB169" s="577"/>
      <c r="AC169" s="577"/>
      <c r="AD169" s="577"/>
      <c r="AE169" s="577"/>
      <c r="AF169" s="577"/>
      <c r="AG169" s="577"/>
      <c r="AH169" s="577"/>
      <c r="AI169" s="577"/>
      <c r="AJ169" s="577"/>
      <c r="AK169" s="577"/>
      <c r="AL169" s="577"/>
      <c r="AM169" s="577"/>
      <c r="AN169" s="577"/>
      <c r="AO169" s="577"/>
      <c r="AP169" s="577"/>
      <c r="AQ169" s="577"/>
      <c r="AR169" s="577"/>
      <c r="AS169" s="577"/>
      <c r="AT169" s="577"/>
      <c r="AU169" s="577"/>
      <c r="AV169" s="577"/>
      <c r="AW169" s="577"/>
      <c r="AX169" s="577"/>
      <c r="AY169" s="577"/>
      <c r="AZ169" s="577"/>
    </row>
    <row r="170" spans="1:52" ht="15.75" customHeight="1" x14ac:dyDescent="0.2">
      <c r="A170" s="577"/>
      <c r="B170" s="577"/>
      <c r="C170" s="577"/>
      <c r="D170" s="577"/>
      <c r="E170" s="577"/>
      <c r="F170" s="577"/>
      <c r="G170" s="577"/>
      <c r="H170" s="577"/>
      <c r="I170" s="577"/>
      <c r="J170" s="577"/>
      <c r="K170" s="577"/>
      <c r="L170" s="577"/>
      <c r="M170" s="577"/>
      <c r="N170" s="577"/>
      <c r="O170" s="577"/>
      <c r="P170" s="577"/>
      <c r="Q170" s="577"/>
      <c r="R170" s="577"/>
      <c r="S170" s="577"/>
      <c r="T170" s="577"/>
      <c r="U170" s="577"/>
      <c r="V170" s="577"/>
      <c r="W170" s="577"/>
      <c r="X170" s="577"/>
      <c r="Y170" s="577"/>
      <c r="Z170" s="577"/>
      <c r="AA170" s="577"/>
      <c r="AB170" s="577"/>
      <c r="AC170" s="577"/>
      <c r="AD170" s="577"/>
      <c r="AE170" s="577"/>
      <c r="AF170" s="577"/>
      <c r="AG170" s="577"/>
      <c r="AH170" s="577"/>
      <c r="AI170" s="577"/>
      <c r="AJ170" s="577"/>
      <c r="AK170" s="577"/>
      <c r="AL170" s="577"/>
      <c r="AM170" s="577"/>
      <c r="AN170" s="577"/>
      <c r="AO170" s="577"/>
      <c r="AP170" s="577"/>
      <c r="AQ170" s="577"/>
      <c r="AR170" s="577"/>
      <c r="AS170" s="577"/>
      <c r="AT170" s="577"/>
      <c r="AU170" s="577"/>
      <c r="AV170" s="577"/>
      <c r="AW170" s="577"/>
      <c r="AX170" s="577"/>
      <c r="AY170" s="577"/>
      <c r="AZ170" s="577"/>
    </row>
    <row r="171" spans="1:52" ht="15.75" customHeight="1" x14ac:dyDescent="0.2">
      <c r="A171" s="577"/>
      <c r="B171" s="577"/>
      <c r="C171" s="577"/>
      <c r="D171" s="577"/>
      <c r="E171" s="577"/>
      <c r="F171" s="577"/>
      <c r="G171" s="577"/>
      <c r="H171" s="577"/>
      <c r="I171" s="577"/>
      <c r="J171" s="577"/>
      <c r="K171" s="577"/>
      <c r="L171" s="577"/>
      <c r="M171" s="577"/>
      <c r="N171" s="577"/>
      <c r="O171" s="577"/>
      <c r="P171" s="577"/>
      <c r="Q171" s="577"/>
      <c r="R171" s="577"/>
      <c r="S171" s="577"/>
      <c r="T171" s="577"/>
      <c r="U171" s="577"/>
      <c r="V171" s="577"/>
      <c r="W171" s="577"/>
      <c r="X171" s="577"/>
      <c r="Y171" s="577"/>
      <c r="Z171" s="577"/>
      <c r="AA171" s="577"/>
      <c r="AB171" s="577"/>
      <c r="AC171" s="577"/>
      <c r="AD171" s="577"/>
      <c r="AE171" s="577"/>
      <c r="AF171" s="577"/>
      <c r="AG171" s="577"/>
      <c r="AH171" s="577"/>
      <c r="AI171" s="577"/>
      <c r="AJ171" s="577"/>
      <c r="AK171" s="577"/>
      <c r="AL171" s="577"/>
      <c r="AM171" s="577"/>
      <c r="AN171" s="577"/>
      <c r="AO171" s="577"/>
      <c r="AP171" s="577"/>
      <c r="AQ171" s="577"/>
      <c r="AR171" s="577"/>
      <c r="AS171" s="577"/>
      <c r="AT171" s="577"/>
      <c r="AU171" s="577"/>
      <c r="AV171" s="577"/>
      <c r="AW171" s="577"/>
      <c r="AX171" s="577"/>
      <c r="AY171" s="577"/>
      <c r="AZ171" s="577"/>
    </row>
    <row r="172" spans="1:52" ht="15.75" customHeight="1" x14ac:dyDescent="0.2">
      <c r="A172" s="577"/>
      <c r="B172" s="577"/>
      <c r="C172" s="577"/>
      <c r="D172" s="577"/>
      <c r="E172" s="577"/>
      <c r="F172" s="577"/>
      <c r="G172" s="577"/>
      <c r="H172" s="577"/>
      <c r="I172" s="577"/>
      <c r="J172" s="577"/>
      <c r="K172" s="577"/>
      <c r="L172" s="577"/>
      <c r="M172" s="577"/>
      <c r="N172" s="577"/>
      <c r="O172" s="577"/>
      <c r="P172" s="577"/>
      <c r="Q172" s="577"/>
      <c r="R172" s="577"/>
      <c r="S172" s="577"/>
      <c r="T172" s="577"/>
      <c r="U172" s="577"/>
      <c r="V172" s="577"/>
      <c r="W172" s="577"/>
      <c r="X172" s="577"/>
      <c r="Y172" s="577"/>
      <c r="Z172" s="577"/>
      <c r="AA172" s="577"/>
      <c r="AB172" s="577"/>
      <c r="AC172" s="577"/>
      <c r="AD172" s="577"/>
      <c r="AE172" s="577"/>
      <c r="AF172" s="577"/>
      <c r="AG172" s="577"/>
      <c r="AH172" s="577"/>
      <c r="AI172" s="577"/>
      <c r="AJ172" s="577"/>
      <c r="AK172" s="577"/>
      <c r="AL172" s="577"/>
      <c r="AM172" s="577"/>
      <c r="AN172" s="577"/>
      <c r="AO172" s="577"/>
      <c r="AP172" s="577"/>
      <c r="AQ172" s="577"/>
      <c r="AR172" s="577"/>
      <c r="AS172" s="577"/>
      <c r="AT172" s="577"/>
      <c r="AU172" s="577"/>
      <c r="AV172" s="577"/>
      <c r="AW172" s="577"/>
      <c r="AX172" s="577"/>
      <c r="AY172" s="577"/>
      <c r="AZ172" s="577"/>
    </row>
    <row r="173" spans="1:52" ht="15.75" customHeight="1" x14ac:dyDescent="0.2">
      <c r="A173" s="577"/>
      <c r="B173" s="577"/>
      <c r="C173" s="577"/>
      <c r="D173" s="577"/>
      <c r="E173" s="577"/>
      <c r="F173" s="577"/>
      <c r="G173" s="577"/>
      <c r="H173" s="577"/>
      <c r="I173" s="577"/>
      <c r="J173" s="577"/>
      <c r="K173" s="577"/>
      <c r="L173" s="577"/>
      <c r="M173" s="577"/>
      <c r="N173" s="577"/>
      <c r="O173" s="577"/>
      <c r="P173" s="577"/>
      <c r="Q173" s="577"/>
      <c r="R173" s="577"/>
      <c r="S173" s="577"/>
      <c r="T173" s="577"/>
      <c r="U173" s="577"/>
      <c r="V173" s="577"/>
      <c r="W173" s="577"/>
      <c r="X173" s="577"/>
      <c r="Y173" s="577"/>
      <c r="Z173" s="577"/>
      <c r="AA173" s="577"/>
      <c r="AB173" s="577"/>
      <c r="AC173" s="577"/>
      <c r="AD173" s="577"/>
      <c r="AE173" s="577"/>
      <c r="AF173" s="577"/>
      <c r="AG173" s="577"/>
      <c r="AH173" s="577"/>
      <c r="AI173" s="577"/>
      <c r="AJ173" s="577"/>
      <c r="AK173" s="577"/>
      <c r="AL173" s="577"/>
      <c r="AM173" s="577"/>
      <c r="AN173" s="577"/>
      <c r="AO173" s="577"/>
      <c r="AP173" s="577"/>
      <c r="AQ173" s="577"/>
      <c r="AR173" s="577"/>
      <c r="AS173" s="577"/>
      <c r="AT173" s="577"/>
      <c r="AU173" s="577"/>
      <c r="AV173" s="577"/>
      <c r="AW173" s="577"/>
      <c r="AX173" s="577"/>
      <c r="AY173" s="577"/>
      <c r="AZ173" s="577"/>
    </row>
    <row r="174" spans="1:52" ht="15.75" customHeight="1" x14ac:dyDescent="0.2">
      <c r="A174" s="577"/>
      <c r="B174" s="577"/>
      <c r="C174" s="577"/>
      <c r="D174" s="577"/>
      <c r="E174" s="577"/>
      <c r="F174" s="577"/>
      <c r="G174" s="577"/>
      <c r="H174" s="577"/>
      <c r="I174" s="577"/>
      <c r="J174" s="577"/>
      <c r="K174" s="577"/>
      <c r="L174" s="577"/>
      <c r="M174" s="577"/>
      <c r="N174" s="577"/>
      <c r="O174" s="577"/>
      <c r="P174" s="577"/>
      <c r="Q174" s="577"/>
      <c r="R174" s="577"/>
      <c r="S174" s="577"/>
      <c r="T174" s="577"/>
      <c r="U174" s="577"/>
      <c r="V174" s="577"/>
      <c r="W174" s="577"/>
      <c r="X174" s="577"/>
      <c r="Y174" s="577"/>
      <c r="Z174" s="577"/>
      <c r="AA174" s="577"/>
      <c r="AB174" s="577"/>
      <c r="AC174" s="577"/>
      <c r="AD174" s="577"/>
      <c r="AE174" s="577"/>
      <c r="AF174" s="577"/>
      <c r="AG174" s="577"/>
      <c r="AH174" s="577"/>
      <c r="AI174" s="577"/>
      <c r="AJ174" s="577"/>
      <c r="AK174" s="577"/>
      <c r="AL174" s="577"/>
      <c r="AM174" s="577"/>
      <c r="AN174" s="577"/>
      <c r="AO174" s="577"/>
      <c r="AP174" s="577"/>
      <c r="AQ174" s="577"/>
      <c r="AR174" s="577"/>
      <c r="AS174" s="577"/>
      <c r="AT174" s="577"/>
      <c r="AU174" s="577"/>
      <c r="AV174" s="577"/>
      <c r="AW174" s="577"/>
      <c r="AX174" s="577"/>
      <c r="AY174" s="577"/>
      <c r="AZ174" s="577"/>
    </row>
    <row r="175" spans="1:52" ht="15.75" customHeight="1" x14ac:dyDescent="0.2">
      <c r="A175" s="577"/>
      <c r="B175" s="577"/>
      <c r="C175" s="577"/>
      <c r="D175" s="577"/>
      <c r="E175" s="577"/>
      <c r="F175" s="577"/>
      <c r="G175" s="577"/>
      <c r="H175" s="577"/>
      <c r="I175" s="577"/>
      <c r="J175" s="577"/>
      <c r="K175" s="577"/>
      <c r="L175" s="577"/>
      <c r="M175" s="577"/>
      <c r="N175" s="577"/>
      <c r="O175" s="577"/>
      <c r="P175" s="577"/>
      <c r="Q175" s="577"/>
      <c r="R175" s="577"/>
      <c r="S175" s="577"/>
      <c r="T175" s="577"/>
      <c r="U175" s="577"/>
      <c r="V175" s="577"/>
      <c r="W175" s="577"/>
      <c r="X175" s="577"/>
      <c r="Y175" s="577"/>
      <c r="Z175" s="577"/>
      <c r="AA175" s="577"/>
      <c r="AB175" s="577"/>
      <c r="AC175" s="577"/>
      <c r="AD175" s="577"/>
      <c r="AE175" s="577"/>
      <c r="AF175" s="577"/>
      <c r="AG175" s="577"/>
      <c r="AH175" s="577"/>
      <c r="AI175" s="577"/>
      <c r="AJ175" s="577"/>
      <c r="AK175" s="577"/>
      <c r="AL175" s="577"/>
      <c r="AM175" s="577"/>
      <c r="AN175" s="577"/>
      <c r="AO175" s="577"/>
      <c r="AP175" s="577"/>
      <c r="AQ175" s="577"/>
      <c r="AR175" s="577"/>
      <c r="AS175" s="577"/>
      <c r="AT175" s="577"/>
      <c r="AU175" s="577"/>
      <c r="AV175" s="577"/>
      <c r="AW175" s="577"/>
      <c r="AX175" s="577"/>
      <c r="AY175" s="577"/>
      <c r="AZ175" s="577"/>
    </row>
    <row r="176" spans="1:52" ht="15.75" customHeight="1" x14ac:dyDescent="0.2">
      <c r="A176" s="577"/>
      <c r="B176" s="577"/>
      <c r="C176" s="577"/>
      <c r="D176" s="577"/>
      <c r="E176" s="577"/>
      <c r="F176" s="577"/>
      <c r="G176" s="577"/>
      <c r="H176" s="577"/>
      <c r="I176" s="577"/>
      <c r="J176" s="577"/>
      <c r="K176" s="577"/>
      <c r="L176" s="577"/>
      <c r="M176" s="577"/>
      <c r="N176" s="577"/>
      <c r="O176" s="577"/>
      <c r="P176" s="577"/>
      <c r="Q176" s="577"/>
      <c r="R176" s="577"/>
      <c r="S176" s="577"/>
      <c r="T176" s="577"/>
      <c r="U176" s="577"/>
      <c r="V176" s="577"/>
      <c r="W176" s="577"/>
      <c r="X176" s="577"/>
      <c r="Y176" s="577"/>
      <c r="Z176" s="577"/>
      <c r="AA176" s="577"/>
      <c r="AB176" s="577"/>
      <c r="AC176" s="577"/>
      <c r="AD176" s="577"/>
      <c r="AE176" s="577"/>
      <c r="AF176" s="577"/>
      <c r="AG176" s="577"/>
      <c r="AH176" s="577"/>
      <c r="AI176" s="577"/>
      <c r="AJ176" s="577"/>
      <c r="AK176" s="577"/>
      <c r="AL176" s="577"/>
      <c r="AM176" s="577"/>
      <c r="AN176" s="577"/>
      <c r="AO176" s="577"/>
      <c r="AP176" s="577"/>
      <c r="AQ176" s="577"/>
      <c r="AR176" s="577"/>
      <c r="AS176" s="577"/>
      <c r="AT176" s="577"/>
      <c r="AU176" s="577"/>
      <c r="AV176" s="577"/>
      <c r="AW176" s="577"/>
      <c r="AX176" s="577"/>
      <c r="AY176" s="577"/>
      <c r="AZ176" s="577"/>
    </row>
    <row r="177" spans="1:52" ht="15.75" customHeight="1" x14ac:dyDescent="0.2">
      <c r="A177" s="577"/>
      <c r="B177" s="577"/>
      <c r="C177" s="577"/>
      <c r="D177" s="577"/>
      <c r="E177" s="577"/>
      <c r="F177" s="577"/>
      <c r="G177" s="577"/>
      <c r="H177" s="577"/>
      <c r="I177" s="577"/>
      <c r="J177" s="577"/>
      <c r="K177" s="577"/>
      <c r="L177" s="577"/>
      <c r="M177" s="577"/>
      <c r="N177" s="577"/>
      <c r="O177" s="577"/>
      <c r="P177" s="577"/>
      <c r="Q177" s="577"/>
      <c r="R177" s="577"/>
      <c r="S177" s="577"/>
      <c r="T177" s="577"/>
      <c r="U177" s="577"/>
      <c r="V177" s="577"/>
      <c r="W177" s="577"/>
      <c r="X177" s="577"/>
      <c r="Y177" s="577"/>
      <c r="Z177" s="577"/>
      <c r="AA177" s="577"/>
      <c r="AB177" s="577"/>
      <c r="AC177" s="577"/>
      <c r="AD177" s="577"/>
      <c r="AE177" s="577"/>
      <c r="AF177" s="577"/>
      <c r="AG177" s="577"/>
      <c r="AH177" s="577"/>
      <c r="AI177" s="577"/>
      <c r="AJ177" s="577"/>
      <c r="AK177" s="577"/>
      <c r="AL177" s="577"/>
      <c r="AM177" s="577"/>
      <c r="AN177" s="577"/>
      <c r="AO177" s="577"/>
      <c r="AP177" s="577"/>
      <c r="AQ177" s="577"/>
      <c r="AR177" s="577"/>
      <c r="AS177" s="577"/>
      <c r="AT177" s="577"/>
      <c r="AU177" s="577"/>
      <c r="AV177" s="577"/>
      <c r="AW177" s="577"/>
      <c r="AX177" s="577"/>
      <c r="AY177" s="577"/>
      <c r="AZ177" s="577"/>
    </row>
    <row r="178" spans="1:52" ht="15.75" customHeight="1" x14ac:dyDescent="0.2">
      <c r="A178" s="577"/>
      <c r="B178" s="577"/>
      <c r="C178" s="577"/>
      <c r="D178" s="577"/>
      <c r="E178" s="577"/>
      <c r="F178" s="577"/>
      <c r="G178" s="577"/>
      <c r="H178" s="577"/>
      <c r="I178" s="577"/>
      <c r="J178" s="577"/>
      <c r="K178" s="577"/>
      <c r="L178" s="577"/>
      <c r="M178" s="577"/>
      <c r="N178" s="577"/>
      <c r="O178" s="577"/>
      <c r="P178" s="577"/>
      <c r="Q178" s="577"/>
      <c r="R178" s="577"/>
      <c r="S178" s="577"/>
      <c r="T178" s="577"/>
      <c r="U178" s="577"/>
      <c r="V178" s="577"/>
      <c r="W178" s="577"/>
      <c r="X178" s="577"/>
      <c r="Y178" s="577"/>
      <c r="Z178" s="577"/>
      <c r="AA178" s="577"/>
      <c r="AB178" s="577"/>
      <c r="AC178" s="577"/>
      <c r="AD178" s="577"/>
      <c r="AE178" s="577"/>
      <c r="AF178" s="577"/>
      <c r="AG178" s="577"/>
      <c r="AH178" s="577"/>
      <c r="AI178" s="577"/>
      <c r="AJ178" s="577"/>
      <c r="AK178" s="577"/>
      <c r="AL178" s="577"/>
      <c r="AM178" s="577"/>
      <c r="AN178" s="577"/>
      <c r="AO178" s="577"/>
      <c r="AP178" s="577"/>
      <c r="AQ178" s="577"/>
      <c r="AR178" s="577"/>
      <c r="AS178" s="577"/>
      <c r="AT178" s="577"/>
      <c r="AU178" s="577"/>
      <c r="AV178" s="577"/>
      <c r="AW178" s="577"/>
      <c r="AX178" s="577"/>
      <c r="AY178" s="577"/>
      <c r="AZ178" s="577"/>
    </row>
    <row r="179" spans="1:52" ht="15.75" customHeight="1" x14ac:dyDescent="0.2">
      <c r="A179" s="577"/>
      <c r="B179" s="577"/>
      <c r="C179" s="577"/>
      <c r="D179" s="577"/>
      <c r="E179" s="577"/>
      <c r="F179" s="577"/>
      <c r="G179" s="577"/>
      <c r="H179" s="577"/>
      <c r="I179" s="577"/>
      <c r="J179" s="577"/>
      <c r="K179" s="577"/>
      <c r="L179" s="577"/>
      <c r="M179" s="577"/>
      <c r="N179" s="577"/>
      <c r="O179" s="577"/>
      <c r="P179" s="577"/>
      <c r="Q179" s="577"/>
      <c r="R179" s="577"/>
      <c r="S179" s="577"/>
      <c r="T179" s="577"/>
      <c r="U179" s="577"/>
      <c r="V179" s="577"/>
      <c r="W179" s="577"/>
      <c r="X179" s="577"/>
      <c r="Y179" s="577"/>
      <c r="Z179" s="577"/>
      <c r="AA179" s="577"/>
      <c r="AB179" s="577"/>
      <c r="AC179" s="577"/>
      <c r="AD179" s="577"/>
      <c r="AE179" s="577"/>
      <c r="AF179" s="577"/>
      <c r="AG179" s="577"/>
      <c r="AH179" s="577"/>
      <c r="AI179" s="577"/>
      <c r="AJ179" s="577"/>
      <c r="AK179" s="577"/>
      <c r="AL179" s="577"/>
      <c r="AM179" s="577"/>
      <c r="AN179" s="577"/>
      <c r="AO179" s="577"/>
      <c r="AP179" s="577"/>
      <c r="AQ179" s="577"/>
      <c r="AR179" s="577"/>
      <c r="AS179" s="577"/>
      <c r="AT179" s="577"/>
      <c r="AU179" s="577"/>
      <c r="AV179" s="577"/>
      <c r="AW179" s="577"/>
      <c r="AX179" s="577"/>
      <c r="AY179" s="577"/>
      <c r="AZ179" s="577"/>
    </row>
    <row r="180" spans="1:52" ht="15.75" customHeight="1" x14ac:dyDescent="0.2">
      <c r="A180" s="577"/>
      <c r="B180" s="577"/>
      <c r="C180" s="577"/>
      <c r="D180" s="577"/>
      <c r="E180" s="577"/>
      <c r="F180" s="577"/>
      <c r="G180" s="577"/>
      <c r="H180" s="577"/>
      <c r="I180" s="577"/>
      <c r="J180" s="577"/>
      <c r="K180" s="577"/>
      <c r="L180" s="577"/>
      <c r="M180" s="577"/>
      <c r="N180" s="577"/>
      <c r="O180" s="577"/>
      <c r="P180" s="577"/>
      <c r="Q180" s="577"/>
      <c r="R180" s="577"/>
      <c r="S180" s="577"/>
      <c r="T180" s="577"/>
      <c r="U180" s="577"/>
      <c r="V180" s="577"/>
      <c r="W180" s="577"/>
      <c r="X180" s="577"/>
      <c r="Y180" s="577"/>
      <c r="Z180" s="577"/>
      <c r="AA180" s="577"/>
      <c r="AB180" s="577"/>
      <c r="AC180" s="577"/>
      <c r="AD180" s="577"/>
      <c r="AE180" s="577"/>
      <c r="AF180" s="577"/>
      <c r="AG180" s="577"/>
      <c r="AH180" s="577"/>
      <c r="AI180" s="577"/>
      <c r="AJ180" s="577"/>
      <c r="AK180" s="577"/>
      <c r="AL180" s="577"/>
      <c r="AM180" s="577"/>
      <c r="AN180" s="577"/>
      <c r="AO180" s="577"/>
      <c r="AP180" s="577"/>
      <c r="AQ180" s="577"/>
      <c r="AR180" s="577"/>
      <c r="AS180" s="577"/>
      <c r="AT180" s="577"/>
      <c r="AU180" s="577"/>
      <c r="AV180" s="577"/>
      <c r="AW180" s="577"/>
      <c r="AX180" s="577"/>
      <c r="AY180" s="577"/>
      <c r="AZ180" s="577"/>
    </row>
    <row r="181" spans="1:52" ht="15.75" customHeight="1" x14ac:dyDescent="0.2">
      <c r="A181" s="577"/>
      <c r="B181" s="577"/>
      <c r="C181" s="577"/>
      <c r="D181" s="577"/>
      <c r="E181" s="577"/>
      <c r="F181" s="577"/>
      <c r="G181" s="577"/>
      <c r="H181" s="577"/>
      <c r="I181" s="577"/>
      <c r="J181" s="577"/>
      <c r="K181" s="577"/>
      <c r="L181" s="577"/>
      <c r="M181" s="577"/>
      <c r="N181" s="577"/>
      <c r="O181" s="577"/>
      <c r="P181" s="577"/>
      <c r="Q181" s="577"/>
      <c r="R181" s="577"/>
      <c r="S181" s="577"/>
      <c r="T181" s="577"/>
      <c r="U181" s="577"/>
      <c r="V181" s="577"/>
      <c r="W181" s="577"/>
      <c r="X181" s="577"/>
      <c r="Y181" s="577"/>
      <c r="Z181" s="577"/>
      <c r="AA181" s="577"/>
      <c r="AB181" s="577"/>
      <c r="AC181" s="577"/>
      <c r="AD181" s="577"/>
      <c r="AE181" s="577"/>
      <c r="AF181" s="577"/>
      <c r="AG181" s="577"/>
      <c r="AH181" s="577"/>
      <c r="AI181" s="577"/>
      <c r="AJ181" s="577"/>
      <c r="AK181" s="577"/>
      <c r="AL181" s="577"/>
      <c r="AM181" s="577"/>
      <c r="AN181" s="577"/>
      <c r="AO181" s="577"/>
      <c r="AP181" s="577"/>
      <c r="AQ181" s="577"/>
      <c r="AR181" s="577"/>
      <c r="AS181" s="577"/>
      <c r="AT181" s="577"/>
      <c r="AU181" s="577"/>
      <c r="AV181" s="577"/>
      <c r="AW181" s="577"/>
      <c r="AX181" s="577"/>
      <c r="AY181" s="577"/>
      <c r="AZ181" s="577"/>
    </row>
    <row r="182" spans="1:52" ht="15.75" customHeight="1" x14ac:dyDescent="0.2">
      <c r="A182" s="577"/>
      <c r="B182" s="577"/>
      <c r="C182" s="577"/>
      <c r="D182" s="577"/>
      <c r="E182" s="577"/>
      <c r="F182" s="577"/>
      <c r="G182" s="577"/>
      <c r="H182" s="577"/>
      <c r="I182" s="577"/>
      <c r="J182" s="577"/>
      <c r="K182" s="577"/>
      <c r="L182" s="577"/>
      <c r="M182" s="577"/>
      <c r="N182" s="577"/>
      <c r="O182" s="577"/>
      <c r="P182" s="577"/>
      <c r="Q182" s="577"/>
      <c r="R182" s="577"/>
      <c r="S182" s="577"/>
      <c r="T182" s="577"/>
      <c r="U182" s="577"/>
      <c r="V182" s="577"/>
      <c r="W182" s="577"/>
      <c r="X182" s="577"/>
      <c r="Y182" s="577"/>
      <c r="Z182" s="577"/>
      <c r="AA182" s="577"/>
      <c r="AB182" s="577"/>
      <c r="AC182" s="577"/>
      <c r="AD182" s="577"/>
      <c r="AE182" s="577"/>
      <c r="AF182" s="577"/>
      <c r="AG182" s="577"/>
      <c r="AH182" s="577"/>
      <c r="AI182" s="577"/>
      <c r="AJ182" s="577"/>
      <c r="AK182" s="577"/>
      <c r="AL182" s="577"/>
      <c r="AM182" s="577"/>
      <c r="AN182" s="577"/>
      <c r="AO182" s="577"/>
      <c r="AP182" s="577"/>
      <c r="AQ182" s="577"/>
      <c r="AR182" s="577"/>
      <c r="AS182" s="577"/>
      <c r="AT182" s="577"/>
      <c r="AU182" s="577"/>
      <c r="AV182" s="577"/>
      <c r="AW182" s="577"/>
      <c r="AX182" s="577"/>
      <c r="AY182" s="577"/>
      <c r="AZ182" s="577"/>
    </row>
    <row r="183" spans="1:52" ht="15.75" customHeight="1" x14ac:dyDescent="0.2">
      <c r="A183" s="577"/>
      <c r="B183" s="577"/>
      <c r="C183" s="577"/>
      <c r="D183" s="577"/>
      <c r="E183" s="577"/>
      <c r="F183" s="577"/>
      <c r="G183" s="577"/>
      <c r="H183" s="577"/>
      <c r="I183" s="577"/>
      <c r="J183" s="577"/>
      <c r="K183" s="577"/>
      <c r="L183" s="577"/>
      <c r="M183" s="577"/>
      <c r="N183" s="577"/>
      <c r="O183" s="577"/>
      <c r="P183" s="577"/>
      <c r="Q183" s="577"/>
      <c r="R183" s="577"/>
      <c r="S183" s="577"/>
      <c r="T183" s="577"/>
      <c r="U183" s="577"/>
      <c r="V183" s="577"/>
      <c r="W183" s="577"/>
      <c r="X183" s="577"/>
      <c r="Y183" s="577"/>
      <c r="Z183" s="577"/>
      <c r="AA183" s="577"/>
      <c r="AB183" s="577"/>
      <c r="AC183" s="577"/>
      <c r="AD183" s="577"/>
      <c r="AE183" s="577"/>
      <c r="AF183" s="577"/>
      <c r="AG183" s="577"/>
      <c r="AH183" s="577"/>
      <c r="AI183" s="577"/>
      <c r="AJ183" s="577"/>
      <c r="AK183" s="577"/>
      <c r="AL183" s="577"/>
      <c r="AM183" s="577"/>
      <c r="AN183" s="577"/>
      <c r="AO183" s="577"/>
      <c r="AP183" s="577"/>
      <c r="AQ183" s="577"/>
      <c r="AR183" s="577"/>
      <c r="AS183" s="577"/>
      <c r="AT183" s="577"/>
      <c r="AU183" s="577"/>
      <c r="AV183" s="577"/>
      <c r="AW183" s="577"/>
      <c r="AX183" s="577"/>
      <c r="AY183" s="577"/>
      <c r="AZ183" s="577"/>
    </row>
    <row r="184" spans="1:52" ht="15.75" customHeight="1" x14ac:dyDescent="0.2">
      <c r="A184" s="577"/>
      <c r="B184" s="577"/>
      <c r="C184" s="577"/>
      <c r="D184" s="577"/>
      <c r="E184" s="577"/>
      <c r="F184" s="577"/>
      <c r="G184" s="577"/>
      <c r="H184" s="577"/>
      <c r="I184" s="577"/>
      <c r="J184" s="577"/>
      <c r="K184" s="577"/>
      <c r="L184" s="577"/>
      <c r="M184" s="577"/>
      <c r="N184" s="577"/>
      <c r="O184" s="577"/>
      <c r="P184" s="577"/>
      <c r="Q184" s="577"/>
      <c r="R184" s="577"/>
      <c r="S184" s="577"/>
      <c r="T184" s="577"/>
      <c r="U184" s="577"/>
      <c r="V184" s="577"/>
      <c r="W184" s="577"/>
      <c r="X184" s="577"/>
      <c r="Y184" s="577"/>
      <c r="Z184" s="577"/>
      <c r="AA184" s="577"/>
      <c r="AB184" s="577"/>
      <c r="AC184" s="577"/>
      <c r="AD184" s="577"/>
      <c r="AE184" s="577"/>
      <c r="AF184" s="577"/>
      <c r="AG184" s="577"/>
      <c r="AH184" s="577"/>
      <c r="AI184" s="577"/>
      <c r="AJ184" s="577"/>
      <c r="AK184" s="577"/>
      <c r="AL184" s="577"/>
      <c r="AM184" s="577"/>
      <c r="AN184" s="577"/>
      <c r="AO184" s="577"/>
      <c r="AP184" s="577"/>
      <c r="AQ184" s="577"/>
      <c r="AR184" s="577"/>
      <c r="AS184" s="577"/>
      <c r="AT184" s="577"/>
      <c r="AU184" s="577"/>
      <c r="AV184" s="577"/>
      <c r="AW184" s="577"/>
      <c r="AX184" s="577"/>
      <c r="AY184" s="577"/>
      <c r="AZ184" s="577"/>
    </row>
    <row r="185" spans="1:52" ht="15.75" customHeight="1" x14ac:dyDescent="0.2">
      <c r="A185" s="577"/>
      <c r="B185" s="577"/>
      <c r="C185" s="577"/>
      <c r="D185" s="577"/>
      <c r="E185" s="577"/>
      <c r="F185" s="577"/>
      <c r="G185" s="577"/>
      <c r="H185" s="577"/>
      <c r="I185" s="577"/>
      <c r="J185" s="577"/>
      <c r="K185" s="577"/>
      <c r="L185" s="577"/>
      <c r="M185" s="577"/>
      <c r="N185" s="577"/>
      <c r="O185" s="577"/>
      <c r="P185" s="577"/>
      <c r="Q185" s="577"/>
      <c r="R185" s="577"/>
      <c r="S185" s="577"/>
      <c r="T185" s="577"/>
      <c r="U185" s="577"/>
      <c r="V185" s="577"/>
      <c r="W185" s="577"/>
      <c r="X185" s="577"/>
      <c r="Y185" s="577"/>
      <c r="Z185" s="577"/>
      <c r="AA185" s="577"/>
      <c r="AB185" s="577"/>
      <c r="AC185" s="577"/>
      <c r="AD185" s="577"/>
      <c r="AE185" s="577"/>
      <c r="AF185" s="577"/>
      <c r="AG185" s="577"/>
      <c r="AH185" s="577"/>
      <c r="AI185" s="577"/>
      <c r="AJ185" s="577"/>
      <c r="AK185" s="577"/>
      <c r="AL185" s="577"/>
      <c r="AM185" s="577"/>
      <c r="AN185" s="577"/>
      <c r="AO185" s="577"/>
      <c r="AP185" s="577"/>
      <c r="AQ185" s="577"/>
      <c r="AR185" s="577"/>
      <c r="AS185" s="577"/>
      <c r="AT185" s="577"/>
      <c r="AU185" s="577"/>
      <c r="AV185" s="577"/>
      <c r="AW185" s="577"/>
      <c r="AX185" s="577"/>
      <c r="AY185" s="577"/>
      <c r="AZ185" s="577"/>
    </row>
    <row r="186" spans="1:52" ht="15.75" customHeight="1" x14ac:dyDescent="0.2">
      <c r="A186" s="577"/>
      <c r="B186" s="577"/>
      <c r="C186" s="577"/>
      <c r="D186" s="577"/>
      <c r="E186" s="577"/>
      <c r="F186" s="577"/>
      <c r="G186" s="577"/>
      <c r="H186" s="577"/>
      <c r="I186" s="577"/>
      <c r="J186" s="577"/>
      <c r="K186" s="577"/>
      <c r="L186" s="577"/>
      <c r="M186" s="577"/>
      <c r="N186" s="577"/>
      <c r="O186" s="577"/>
      <c r="P186" s="577"/>
      <c r="Q186" s="577"/>
      <c r="R186" s="577"/>
      <c r="S186" s="577"/>
      <c r="T186" s="577"/>
      <c r="U186" s="577"/>
      <c r="V186" s="577"/>
      <c r="W186" s="577"/>
      <c r="X186" s="577"/>
      <c r="Y186" s="577"/>
      <c r="Z186" s="577"/>
      <c r="AA186" s="577"/>
      <c r="AB186" s="577"/>
      <c r="AC186" s="577"/>
      <c r="AD186" s="577"/>
      <c r="AE186" s="577"/>
      <c r="AF186" s="577"/>
      <c r="AG186" s="577"/>
      <c r="AH186" s="577"/>
      <c r="AI186" s="577"/>
      <c r="AJ186" s="577"/>
      <c r="AK186" s="577"/>
      <c r="AL186" s="577"/>
      <c r="AM186" s="577"/>
      <c r="AN186" s="577"/>
      <c r="AO186" s="577"/>
      <c r="AP186" s="577"/>
      <c r="AQ186" s="577"/>
      <c r="AR186" s="577"/>
      <c r="AS186" s="577"/>
      <c r="AT186" s="577"/>
      <c r="AU186" s="577"/>
      <c r="AV186" s="577"/>
      <c r="AW186" s="577"/>
      <c r="AX186" s="577"/>
      <c r="AY186" s="577"/>
      <c r="AZ186" s="577"/>
    </row>
    <row r="187" spans="1:52" ht="15.75" customHeight="1" x14ac:dyDescent="0.2">
      <c r="A187" s="577"/>
      <c r="B187" s="577"/>
      <c r="C187" s="577"/>
      <c r="D187" s="577"/>
      <c r="E187" s="577"/>
      <c r="F187" s="577"/>
      <c r="G187" s="577"/>
      <c r="H187" s="577"/>
      <c r="I187" s="577"/>
      <c r="J187" s="577"/>
      <c r="K187" s="577"/>
      <c r="L187" s="577"/>
      <c r="M187" s="577"/>
      <c r="N187" s="577"/>
      <c r="O187" s="577"/>
      <c r="P187" s="577"/>
      <c r="Q187" s="577"/>
      <c r="R187" s="577"/>
      <c r="S187" s="577"/>
      <c r="T187" s="577"/>
      <c r="U187" s="577"/>
      <c r="V187" s="577"/>
      <c r="W187" s="577"/>
      <c r="X187" s="577"/>
      <c r="Y187" s="577"/>
      <c r="Z187" s="577"/>
      <c r="AA187" s="577"/>
      <c r="AB187" s="577"/>
      <c r="AC187" s="577"/>
      <c r="AD187" s="577"/>
      <c r="AE187" s="577"/>
      <c r="AF187" s="577"/>
      <c r="AG187" s="577"/>
      <c r="AH187" s="577"/>
      <c r="AI187" s="577"/>
      <c r="AJ187" s="577"/>
      <c r="AK187" s="577"/>
      <c r="AL187" s="577"/>
      <c r="AM187" s="577"/>
      <c r="AN187" s="577"/>
      <c r="AO187" s="577"/>
      <c r="AP187" s="577"/>
      <c r="AQ187" s="577"/>
      <c r="AR187" s="577"/>
      <c r="AS187" s="577"/>
      <c r="AT187" s="577"/>
      <c r="AU187" s="577"/>
      <c r="AV187" s="577"/>
      <c r="AW187" s="577"/>
      <c r="AX187" s="577"/>
      <c r="AY187" s="577"/>
      <c r="AZ187" s="577"/>
    </row>
    <row r="188" spans="1:52" ht="15.75" customHeight="1" x14ac:dyDescent="0.2">
      <c r="A188" s="577"/>
      <c r="B188" s="577"/>
      <c r="C188" s="577"/>
      <c r="D188" s="577"/>
      <c r="E188" s="577"/>
      <c r="F188" s="577"/>
      <c r="G188" s="577"/>
      <c r="H188" s="577"/>
      <c r="I188" s="577"/>
      <c r="J188" s="577"/>
      <c r="K188" s="577"/>
      <c r="L188" s="577"/>
      <c r="M188" s="577"/>
      <c r="N188" s="577"/>
      <c r="O188" s="577"/>
      <c r="P188" s="577"/>
      <c r="Q188" s="577"/>
      <c r="R188" s="577"/>
      <c r="S188" s="577"/>
      <c r="T188" s="577"/>
      <c r="U188" s="577"/>
      <c r="V188" s="577"/>
      <c r="W188" s="577"/>
      <c r="X188" s="577"/>
      <c r="Y188" s="577"/>
      <c r="Z188" s="577"/>
      <c r="AA188" s="577"/>
      <c r="AB188" s="577"/>
      <c r="AC188" s="577"/>
      <c r="AD188" s="577"/>
      <c r="AE188" s="577"/>
      <c r="AF188" s="577"/>
      <c r="AG188" s="577"/>
      <c r="AH188" s="577"/>
      <c r="AI188" s="577"/>
      <c r="AJ188" s="577"/>
      <c r="AK188" s="577"/>
      <c r="AL188" s="577"/>
      <c r="AM188" s="577"/>
      <c r="AN188" s="577"/>
      <c r="AO188" s="577"/>
      <c r="AP188" s="577"/>
      <c r="AQ188" s="577"/>
      <c r="AR188" s="577"/>
      <c r="AS188" s="577"/>
      <c r="AT188" s="577"/>
      <c r="AU188" s="577"/>
      <c r="AV188" s="577"/>
      <c r="AW188" s="577"/>
      <c r="AX188" s="577"/>
      <c r="AY188" s="577"/>
      <c r="AZ188" s="577"/>
    </row>
    <row r="189" spans="1:52" ht="15.75" customHeight="1" x14ac:dyDescent="0.2">
      <c r="A189" s="577"/>
      <c r="B189" s="577"/>
      <c r="C189" s="577"/>
      <c r="D189" s="577"/>
      <c r="E189" s="577"/>
      <c r="F189" s="577"/>
      <c r="G189" s="577"/>
      <c r="H189" s="577"/>
      <c r="I189" s="577"/>
      <c r="J189" s="577"/>
      <c r="K189" s="577"/>
      <c r="L189" s="577"/>
      <c r="M189" s="577"/>
      <c r="N189" s="577"/>
      <c r="O189" s="577"/>
      <c r="P189" s="577"/>
      <c r="Q189" s="577"/>
      <c r="R189" s="577"/>
      <c r="S189" s="577"/>
      <c r="T189" s="577"/>
      <c r="U189" s="577"/>
      <c r="V189" s="577"/>
      <c r="W189" s="577"/>
      <c r="X189" s="577"/>
      <c r="Y189" s="577"/>
      <c r="Z189" s="577"/>
      <c r="AA189" s="577"/>
      <c r="AB189" s="577"/>
      <c r="AC189" s="577"/>
      <c r="AD189" s="577"/>
      <c r="AE189" s="577"/>
      <c r="AF189" s="577"/>
      <c r="AG189" s="577"/>
      <c r="AH189" s="577"/>
      <c r="AI189" s="577"/>
      <c r="AJ189" s="577"/>
      <c r="AK189" s="577"/>
      <c r="AL189" s="577"/>
      <c r="AM189" s="577"/>
      <c r="AN189" s="577"/>
      <c r="AO189" s="577"/>
      <c r="AP189" s="577"/>
      <c r="AQ189" s="577"/>
      <c r="AR189" s="577"/>
      <c r="AS189" s="577"/>
      <c r="AT189" s="577"/>
      <c r="AU189" s="577"/>
      <c r="AV189" s="577"/>
      <c r="AW189" s="577"/>
      <c r="AX189" s="577"/>
      <c r="AY189" s="577"/>
      <c r="AZ189" s="577"/>
    </row>
    <row r="190" spans="1:52" ht="15.75" customHeight="1" x14ac:dyDescent="0.2">
      <c r="A190" s="577"/>
      <c r="B190" s="577"/>
      <c r="C190" s="577"/>
      <c r="D190" s="577"/>
      <c r="E190" s="577"/>
      <c r="F190" s="577"/>
      <c r="G190" s="577"/>
      <c r="H190" s="577"/>
      <c r="I190" s="577"/>
      <c r="J190" s="577"/>
      <c r="K190" s="577"/>
      <c r="L190" s="577"/>
      <c r="M190" s="577"/>
      <c r="N190" s="577"/>
      <c r="O190" s="577"/>
      <c r="P190" s="577"/>
      <c r="Q190" s="577"/>
      <c r="R190" s="577"/>
      <c r="S190" s="577"/>
      <c r="T190" s="577"/>
      <c r="U190" s="577"/>
      <c r="V190" s="577"/>
      <c r="W190" s="577"/>
      <c r="X190" s="577"/>
      <c r="Y190" s="577"/>
      <c r="Z190" s="577"/>
      <c r="AA190" s="577"/>
      <c r="AB190" s="577"/>
      <c r="AC190" s="577"/>
      <c r="AD190" s="577"/>
      <c r="AE190" s="577"/>
      <c r="AF190" s="577"/>
      <c r="AG190" s="577"/>
      <c r="AH190" s="577"/>
      <c r="AI190" s="577"/>
      <c r="AJ190" s="577"/>
      <c r="AK190" s="577"/>
      <c r="AL190" s="577"/>
      <c r="AM190" s="577"/>
      <c r="AN190" s="577"/>
      <c r="AO190" s="577"/>
      <c r="AP190" s="577"/>
      <c r="AQ190" s="577"/>
      <c r="AR190" s="577"/>
      <c r="AS190" s="577"/>
      <c r="AT190" s="577"/>
      <c r="AU190" s="577"/>
      <c r="AV190" s="577"/>
      <c r="AW190" s="577"/>
      <c r="AX190" s="577"/>
      <c r="AY190" s="577"/>
      <c r="AZ190" s="577"/>
    </row>
    <row r="191" spans="1:52" ht="15.75" customHeight="1" x14ac:dyDescent="0.2">
      <c r="A191" s="577"/>
      <c r="B191" s="577"/>
      <c r="C191" s="577"/>
      <c r="D191" s="577"/>
      <c r="E191" s="577"/>
      <c r="F191" s="577"/>
      <c r="G191" s="577"/>
      <c r="H191" s="577"/>
      <c r="I191" s="577"/>
      <c r="J191" s="577"/>
      <c r="K191" s="577"/>
      <c r="L191" s="577"/>
      <c r="M191" s="577"/>
      <c r="N191" s="577"/>
      <c r="O191" s="577"/>
      <c r="P191" s="577"/>
      <c r="Q191" s="577"/>
      <c r="R191" s="577"/>
      <c r="S191" s="577"/>
      <c r="T191" s="577"/>
      <c r="U191" s="577"/>
      <c r="V191" s="577"/>
      <c r="W191" s="577"/>
      <c r="X191" s="577"/>
      <c r="Y191" s="577"/>
      <c r="Z191" s="577"/>
      <c r="AA191" s="577"/>
      <c r="AB191" s="577"/>
      <c r="AC191" s="577"/>
      <c r="AD191" s="577"/>
      <c r="AE191" s="577"/>
      <c r="AF191" s="577"/>
      <c r="AG191" s="577"/>
      <c r="AH191" s="577"/>
      <c r="AI191" s="577"/>
      <c r="AJ191" s="577"/>
      <c r="AK191" s="577"/>
      <c r="AL191" s="577"/>
      <c r="AM191" s="577"/>
      <c r="AN191" s="577"/>
      <c r="AO191" s="577"/>
      <c r="AP191" s="577"/>
      <c r="AQ191" s="577"/>
      <c r="AR191" s="577"/>
      <c r="AS191" s="577"/>
      <c r="AT191" s="577"/>
      <c r="AU191" s="577"/>
      <c r="AV191" s="577"/>
      <c r="AW191" s="577"/>
      <c r="AX191" s="577"/>
      <c r="AY191" s="577"/>
      <c r="AZ191" s="577"/>
    </row>
    <row r="192" spans="1:52" ht="15.75" customHeight="1" x14ac:dyDescent="0.2">
      <c r="A192" s="577"/>
      <c r="B192" s="577"/>
      <c r="C192" s="577"/>
      <c r="D192" s="577"/>
      <c r="E192" s="577"/>
      <c r="F192" s="577"/>
      <c r="G192" s="577"/>
      <c r="H192" s="577"/>
      <c r="I192" s="577"/>
      <c r="J192" s="577"/>
      <c r="K192" s="577"/>
      <c r="L192" s="577"/>
      <c r="M192" s="577"/>
      <c r="N192" s="577"/>
      <c r="O192" s="577"/>
      <c r="P192" s="577"/>
      <c r="Q192" s="577"/>
      <c r="R192" s="577"/>
      <c r="S192" s="577"/>
      <c r="T192" s="577"/>
      <c r="U192" s="577"/>
      <c r="V192" s="577"/>
      <c r="W192" s="577"/>
      <c r="X192" s="577"/>
      <c r="Y192" s="577"/>
      <c r="Z192" s="577"/>
      <c r="AA192" s="577"/>
      <c r="AB192" s="577"/>
      <c r="AC192" s="577"/>
      <c r="AD192" s="577"/>
      <c r="AE192" s="577"/>
      <c r="AF192" s="577"/>
      <c r="AG192" s="577"/>
      <c r="AH192" s="577"/>
      <c r="AI192" s="577"/>
      <c r="AJ192" s="577"/>
      <c r="AK192" s="577"/>
      <c r="AL192" s="577"/>
      <c r="AM192" s="577"/>
      <c r="AN192" s="577"/>
      <c r="AO192" s="577"/>
      <c r="AP192" s="577"/>
      <c r="AQ192" s="577"/>
      <c r="AR192" s="577"/>
      <c r="AS192" s="577"/>
      <c r="AT192" s="577"/>
      <c r="AU192" s="577"/>
      <c r="AV192" s="577"/>
      <c r="AW192" s="577"/>
      <c r="AX192" s="577"/>
      <c r="AY192" s="577"/>
      <c r="AZ192" s="577"/>
    </row>
    <row r="193" spans="1:52" ht="15.75" customHeight="1" x14ac:dyDescent="0.2">
      <c r="A193" s="577"/>
      <c r="B193" s="577"/>
      <c r="C193" s="577"/>
      <c r="D193" s="577"/>
      <c r="E193" s="577"/>
      <c r="F193" s="577"/>
      <c r="G193" s="577"/>
      <c r="H193" s="577"/>
      <c r="I193" s="577"/>
      <c r="J193" s="577"/>
      <c r="K193" s="577"/>
      <c r="L193" s="577"/>
      <c r="M193" s="577"/>
      <c r="N193" s="577"/>
      <c r="O193" s="577"/>
      <c r="P193" s="577"/>
      <c r="Q193" s="577"/>
      <c r="R193" s="577"/>
      <c r="S193" s="577"/>
      <c r="T193" s="577"/>
      <c r="U193" s="577"/>
      <c r="V193" s="577"/>
      <c r="W193" s="577"/>
      <c r="X193" s="577"/>
      <c r="Y193" s="577"/>
      <c r="Z193" s="577"/>
      <c r="AA193" s="577"/>
      <c r="AB193" s="577"/>
      <c r="AC193" s="577"/>
      <c r="AD193" s="577"/>
      <c r="AE193" s="577"/>
      <c r="AF193" s="577"/>
      <c r="AG193" s="577"/>
      <c r="AH193" s="577"/>
      <c r="AI193" s="577"/>
      <c r="AJ193" s="577"/>
      <c r="AK193" s="577"/>
      <c r="AL193" s="577"/>
      <c r="AM193" s="577"/>
      <c r="AN193" s="577"/>
      <c r="AO193" s="577"/>
      <c r="AP193" s="577"/>
      <c r="AQ193" s="577"/>
      <c r="AR193" s="577"/>
      <c r="AS193" s="577"/>
      <c r="AT193" s="577"/>
      <c r="AU193" s="577"/>
      <c r="AV193" s="577"/>
      <c r="AW193" s="577"/>
      <c r="AX193" s="577"/>
      <c r="AY193" s="577"/>
      <c r="AZ193" s="577"/>
    </row>
    <row r="194" spans="1:52" ht="15.75" customHeight="1" x14ac:dyDescent="0.2">
      <c r="A194" s="577"/>
      <c r="B194" s="577"/>
      <c r="C194" s="577"/>
      <c r="D194" s="577"/>
      <c r="E194" s="577"/>
      <c r="F194" s="577"/>
      <c r="G194" s="577"/>
      <c r="H194" s="577"/>
      <c r="I194" s="577"/>
      <c r="J194" s="577"/>
      <c r="K194" s="577"/>
      <c r="L194" s="577"/>
      <c r="M194" s="577"/>
      <c r="N194" s="577"/>
      <c r="O194" s="577"/>
      <c r="P194" s="577"/>
      <c r="Q194" s="577"/>
      <c r="R194" s="577"/>
      <c r="S194" s="577"/>
      <c r="T194" s="577"/>
      <c r="U194" s="577"/>
      <c r="V194" s="577"/>
      <c r="W194" s="577"/>
      <c r="X194" s="577"/>
      <c r="Y194" s="577"/>
      <c r="Z194" s="577"/>
      <c r="AA194" s="577"/>
      <c r="AB194" s="577"/>
      <c r="AC194" s="577"/>
      <c r="AD194" s="577"/>
      <c r="AE194" s="577"/>
      <c r="AF194" s="577"/>
      <c r="AG194" s="577"/>
      <c r="AH194" s="577"/>
      <c r="AI194" s="577"/>
      <c r="AJ194" s="577"/>
      <c r="AK194" s="577"/>
      <c r="AL194" s="577"/>
      <c r="AM194" s="577"/>
      <c r="AN194" s="577"/>
      <c r="AO194" s="577"/>
      <c r="AP194" s="577"/>
      <c r="AQ194" s="577"/>
      <c r="AR194" s="577"/>
      <c r="AS194" s="577"/>
      <c r="AT194" s="577"/>
      <c r="AU194" s="577"/>
      <c r="AV194" s="577"/>
      <c r="AW194" s="577"/>
      <c r="AX194" s="577"/>
      <c r="AY194" s="577"/>
      <c r="AZ194" s="577"/>
    </row>
    <row r="195" spans="1:52" ht="15.75" customHeight="1" x14ac:dyDescent="0.2">
      <c r="A195" s="577"/>
      <c r="B195" s="577"/>
      <c r="C195" s="577"/>
      <c r="D195" s="577"/>
      <c r="E195" s="577"/>
      <c r="F195" s="577"/>
      <c r="G195" s="577"/>
      <c r="H195" s="577"/>
      <c r="I195" s="577"/>
      <c r="J195" s="577"/>
      <c r="K195" s="577"/>
      <c r="L195" s="577"/>
      <c r="M195" s="577"/>
      <c r="N195" s="577"/>
      <c r="O195" s="577"/>
      <c r="P195" s="577"/>
      <c r="Q195" s="577"/>
      <c r="R195" s="577"/>
      <c r="S195" s="577"/>
      <c r="T195" s="577"/>
      <c r="U195" s="577"/>
      <c r="V195" s="577"/>
      <c r="W195" s="577"/>
      <c r="X195" s="577"/>
      <c r="Y195" s="577"/>
      <c r="Z195" s="577"/>
      <c r="AA195" s="577"/>
      <c r="AB195" s="577"/>
      <c r="AC195" s="577"/>
      <c r="AD195" s="577"/>
      <c r="AE195" s="577"/>
      <c r="AF195" s="577"/>
      <c r="AG195" s="577"/>
      <c r="AH195" s="577"/>
      <c r="AI195" s="577"/>
      <c r="AJ195" s="577"/>
      <c r="AK195" s="577"/>
      <c r="AL195" s="577"/>
      <c r="AM195" s="577"/>
      <c r="AN195" s="577"/>
      <c r="AO195" s="577"/>
      <c r="AP195" s="577"/>
      <c r="AQ195" s="577"/>
      <c r="AR195" s="577"/>
      <c r="AS195" s="577"/>
      <c r="AT195" s="577"/>
      <c r="AU195" s="577"/>
      <c r="AV195" s="577"/>
      <c r="AW195" s="577"/>
      <c r="AX195" s="577"/>
      <c r="AY195" s="577"/>
      <c r="AZ195" s="577"/>
    </row>
    <row r="196" spans="1:52" ht="0" hidden="1" customHeight="1" x14ac:dyDescent="0.2">
      <c r="A196" s="624"/>
      <c r="B196" s="624"/>
      <c r="C196" s="624"/>
      <c r="D196" s="624"/>
      <c r="E196" s="624"/>
      <c r="F196" s="624"/>
      <c r="G196" s="624"/>
      <c r="H196" s="624"/>
      <c r="I196" s="624"/>
      <c r="J196" s="624"/>
      <c r="K196" s="624"/>
      <c r="L196" s="624"/>
      <c r="M196" s="624"/>
      <c r="N196" s="624"/>
      <c r="O196" s="624"/>
      <c r="P196" s="624"/>
      <c r="Q196" s="624"/>
      <c r="R196" s="624"/>
      <c r="S196" s="624"/>
      <c r="T196" s="624"/>
      <c r="U196" s="624"/>
      <c r="V196" s="624"/>
      <c r="W196" s="624"/>
      <c r="X196" s="624"/>
      <c r="Y196" s="624"/>
      <c r="Z196" s="624"/>
      <c r="AA196" s="624"/>
      <c r="AB196" s="624"/>
      <c r="AC196" s="624"/>
      <c r="AD196" s="624"/>
      <c r="AE196" s="624"/>
      <c r="AF196" s="624"/>
      <c r="AG196" s="624"/>
      <c r="AH196" s="624"/>
      <c r="AI196" s="624"/>
      <c r="AJ196" s="624"/>
      <c r="AK196" s="624"/>
      <c r="AL196" s="624"/>
      <c r="AM196" s="624"/>
      <c r="AN196" s="624"/>
      <c r="AO196" s="624"/>
      <c r="AP196" s="624"/>
      <c r="AQ196" s="624"/>
      <c r="AR196" s="624"/>
      <c r="AS196" s="624"/>
      <c r="AT196" s="624"/>
      <c r="AU196" s="624"/>
      <c r="AV196" s="624"/>
      <c r="AW196" s="624"/>
      <c r="AX196" s="624"/>
      <c r="AY196" s="624"/>
      <c r="AZ196" s="624"/>
    </row>
    <row r="197" spans="1:52" ht="0" hidden="1" customHeight="1" x14ac:dyDescent="0.2">
      <c r="A197" s="624"/>
      <c r="B197" s="624"/>
      <c r="C197" s="624"/>
      <c r="D197" s="624"/>
      <c r="E197" s="624"/>
      <c r="F197" s="624"/>
      <c r="G197" s="624"/>
      <c r="H197" s="624"/>
      <c r="I197" s="624"/>
      <c r="J197" s="624"/>
      <c r="K197" s="624"/>
      <c r="L197" s="624"/>
      <c r="M197" s="624"/>
      <c r="N197" s="624"/>
      <c r="O197" s="624"/>
      <c r="P197" s="624"/>
      <c r="Q197" s="624"/>
      <c r="R197" s="624"/>
      <c r="S197" s="624"/>
      <c r="T197" s="624"/>
      <c r="U197" s="624"/>
      <c r="V197" s="624"/>
      <c r="W197" s="624"/>
      <c r="X197" s="624"/>
      <c r="Y197" s="624"/>
      <c r="Z197" s="624"/>
      <c r="AA197" s="624"/>
      <c r="AB197" s="624"/>
      <c r="AC197" s="624"/>
      <c r="AD197" s="624"/>
      <c r="AE197" s="624"/>
      <c r="AF197" s="624"/>
      <c r="AG197" s="624"/>
      <c r="AH197" s="624"/>
      <c r="AI197" s="624"/>
      <c r="AJ197" s="624"/>
      <c r="AK197" s="624"/>
      <c r="AL197" s="624"/>
      <c r="AM197" s="624"/>
      <c r="AN197" s="624"/>
      <c r="AO197" s="624"/>
      <c r="AP197" s="624"/>
      <c r="AQ197" s="624"/>
      <c r="AR197" s="624"/>
      <c r="AS197" s="624"/>
      <c r="AT197" s="624"/>
      <c r="AU197" s="624"/>
      <c r="AV197" s="624"/>
      <c r="AW197" s="624"/>
      <c r="AX197" s="624"/>
      <c r="AY197" s="624"/>
      <c r="AZ197" s="624"/>
    </row>
    <row r="198" spans="1:52" ht="0" hidden="1" customHeight="1" x14ac:dyDescent="0.2">
      <c r="A198" s="624"/>
      <c r="B198" s="624"/>
      <c r="C198" s="624"/>
      <c r="D198" s="624"/>
      <c r="E198" s="624"/>
      <c r="F198" s="624"/>
      <c r="G198" s="624"/>
      <c r="H198" s="624"/>
      <c r="I198" s="624"/>
      <c r="J198" s="624"/>
      <c r="K198" s="624"/>
      <c r="L198" s="624"/>
      <c r="M198" s="624"/>
      <c r="N198" s="624"/>
      <c r="O198" s="624"/>
      <c r="P198" s="624"/>
      <c r="Q198" s="624"/>
      <c r="R198" s="624"/>
      <c r="S198" s="624"/>
      <c r="T198" s="624"/>
      <c r="U198" s="624"/>
      <c r="V198" s="624"/>
      <c r="W198" s="624"/>
      <c r="X198" s="624"/>
      <c r="Y198" s="624"/>
      <c r="Z198" s="624"/>
      <c r="AA198" s="624"/>
      <c r="AB198" s="624"/>
      <c r="AC198" s="624"/>
      <c r="AD198" s="624"/>
      <c r="AE198" s="624"/>
      <c r="AF198" s="624"/>
      <c r="AG198" s="624"/>
      <c r="AH198" s="624"/>
      <c r="AI198" s="624"/>
      <c r="AJ198" s="624"/>
      <c r="AK198" s="624"/>
      <c r="AL198" s="624"/>
      <c r="AM198" s="624"/>
      <c r="AN198" s="624"/>
      <c r="AO198" s="624"/>
      <c r="AP198" s="624"/>
      <c r="AQ198" s="624"/>
      <c r="AR198" s="624"/>
      <c r="AS198" s="624"/>
      <c r="AT198" s="624"/>
      <c r="AU198" s="624"/>
      <c r="AV198" s="624"/>
      <c r="AW198" s="624"/>
      <c r="AX198" s="624"/>
      <c r="AY198" s="624"/>
      <c r="AZ198" s="624"/>
    </row>
    <row r="199" spans="1:52" ht="0" hidden="1" customHeight="1" x14ac:dyDescent="0.2">
      <c r="A199" s="624"/>
      <c r="B199" s="624"/>
      <c r="C199" s="624"/>
      <c r="D199" s="624"/>
      <c r="E199" s="624"/>
      <c r="F199" s="624"/>
      <c r="G199" s="624"/>
      <c r="H199" s="624"/>
      <c r="I199" s="624"/>
      <c r="J199" s="624"/>
      <c r="K199" s="624"/>
      <c r="L199" s="624"/>
      <c r="M199" s="624"/>
      <c r="N199" s="624"/>
      <c r="O199" s="624"/>
      <c r="P199" s="624"/>
      <c r="Q199" s="624"/>
      <c r="R199" s="624"/>
      <c r="S199" s="624"/>
      <c r="T199" s="624"/>
      <c r="U199" s="624"/>
      <c r="V199" s="624"/>
      <c r="W199" s="624"/>
      <c r="X199" s="624"/>
      <c r="Y199" s="624"/>
      <c r="Z199" s="624"/>
      <c r="AA199" s="624"/>
      <c r="AB199" s="624"/>
      <c r="AC199" s="624"/>
      <c r="AD199" s="624"/>
      <c r="AE199" s="624"/>
      <c r="AF199" s="624"/>
      <c r="AG199" s="624"/>
      <c r="AH199" s="624"/>
      <c r="AI199" s="624"/>
      <c r="AJ199" s="624"/>
      <c r="AK199" s="624"/>
      <c r="AL199" s="624"/>
      <c r="AM199" s="624"/>
      <c r="AN199" s="624"/>
      <c r="AO199" s="624"/>
      <c r="AP199" s="624"/>
      <c r="AQ199" s="624"/>
      <c r="AR199" s="624"/>
      <c r="AS199" s="624"/>
      <c r="AT199" s="624"/>
      <c r="AU199" s="624"/>
      <c r="AV199" s="624"/>
      <c r="AW199" s="624"/>
      <c r="AX199" s="624"/>
      <c r="AY199" s="624"/>
      <c r="AZ199" s="624"/>
    </row>
    <row r="200" spans="1:52" ht="0" hidden="1" customHeight="1" x14ac:dyDescent="0.2">
      <c r="A200" s="624"/>
      <c r="B200" s="624"/>
      <c r="C200" s="624"/>
      <c r="D200" s="624"/>
      <c r="E200" s="624"/>
      <c r="F200" s="624"/>
      <c r="G200" s="624"/>
      <c r="H200" s="624"/>
      <c r="I200" s="624"/>
      <c r="J200" s="624"/>
      <c r="K200" s="624"/>
      <c r="L200" s="624"/>
      <c r="M200" s="624"/>
      <c r="N200" s="624"/>
      <c r="O200" s="624"/>
      <c r="P200" s="624"/>
      <c r="Q200" s="624"/>
      <c r="R200" s="624"/>
      <c r="S200" s="624"/>
      <c r="T200" s="624"/>
      <c r="U200" s="624"/>
      <c r="V200" s="624"/>
      <c r="W200" s="624"/>
      <c r="X200" s="624"/>
      <c r="Y200" s="624"/>
      <c r="Z200" s="624"/>
      <c r="AA200" s="624"/>
      <c r="AB200" s="624"/>
      <c r="AC200" s="624"/>
      <c r="AD200" s="624"/>
      <c r="AE200" s="624"/>
      <c r="AF200" s="624"/>
      <c r="AG200" s="624"/>
      <c r="AH200" s="624"/>
      <c r="AI200" s="624"/>
      <c r="AJ200" s="624"/>
      <c r="AK200" s="624"/>
      <c r="AL200" s="624"/>
      <c r="AM200" s="624"/>
      <c r="AN200" s="624"/>
      <c r="AO200" s="624"/>
      <c r="AP200" s="624"/>
      <c r="AQ200" s="624"/>
      <c r="AR200" s="624"/>
      <c r="AS200" s="624"/>
      <c r="AT200" s="624"/>
      <c r="AU200" s="624"/>
      <c r="AV200" s="624"/>
      <c r="AW200" s="624"/>
      <c r="AX200" s="624"/>
      <c r="AY200" s="624"/>
      <c r="AZ200" s="624"/>
    </row>
  </sheetData>
  <sheetProtection formatCells="0" formatColumns="0" formatRows="0" autoFilter="0"/>
  <pageMargins left="0.75" right="0.75" top="1" bottom="1" header="0.5" footer="0.5"/>
  <pageSetup scale="62" orientation="portrait"/>
  <headerFooter alignWithMargins="0">
    <oddHeader>&amp;CSpring 2018 Exam 5 Make-Up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Z205"/>
  <sheetViews>
    <sheetView workbookViewId="0"/>
  </sheetViews>
  <sheetFormatPr defaultColWidth="0" defaultRowHeight="15" zeroHeight="1" x14ac:dyDescent="0.25"/>
  <cols>
    <col min="1" max="4" width="11.125" style="37" customWidth="1"/>
    <col min="5" max="6" width="9.375" style="37" customWidth="1"/>
    <col min="7" max="7" width="12.875" style="37" customWidth="1"/>
    <col min="8" max="49" width="9.375" style="37" customWidth="1"/>
    <col min="50" max="16384" width="9.375" style="37" hidden="1"/>
  </cols>
  <sheetData>
    <row r="1" spans="1:52" ht="15.75" customHeight="1" thickBot="1" x14ac:dyDescent="0.3">
      <c r="A1" s="1">
        <v>18</v>
      </c>
      <c r="B1" s="2"/>
      <c r="C1" s="33"/>
      <c r="D1" s="33"/>
      <c r="E1" s="33"/>
      <c r="F1" s="33"/>
      <c r="G1" s="34"/>
      <c r="H1" s="82"/>
      <c r="I1" s="36"/>
      <c r="J1" s="36" t="s">
        <v>603</v>
      </c>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40"/>
      <c r="H2" s="82"/>
      <c r="I2" s="635" t="s">
        <v>61</v>
      </c>
      <c r="J2" s="636" t="s">
        <v>183</v>
      </c>
      <c r="K2" s="636" t="s">
        <v>184</v>
      </c>
      <c r="L2" s="636" t="s">
        <v>587</v>
      </c>
      <c r="M2" s="636" t="s">
        <v>560</v>
      </c>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1.5</v>
      </c>
      <c r="B3" s="39"/>
      <c r="C3" s="39"/>
      <c r="D3" s="39"/>
      <c r="E3" s="39"/>
      <c r="F3" s="39"/>
      <c r="G3" s="40"/>
      <c r="H3" s="82"/>
      <c r="I3" s="43">
        <v>2014</v>
      </c>
      <c r="J3" s="637">
        <f>D8/C8</f>
        <v>3.4</v>
      </c>
      <c r="K3" s="637">
        <f>E8/D8</f>
        <v>2.0784313725490198</v>
      </c>
      <c r="L3" s="637">
        <f>F8/E8</f>
        <v>1.5471698113207548</v>
      </c>
      <c r="M3" s="637"/>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455</v>
      </c>
      <c r="C4" s="39"/>
      <c r="D4" s="39"/>
      <c r="E4" s="39"/>
      <c r="F4" s="46"/>
      <c r="G4" s="47"/>
      <c r="H4" s="89"/>
      <c r="I4" s="43">
        <v>2015</v>
      </c>
      <c r="J4" s="637">
        <f t="shared" ref="J4:K5" si="0">D9/C9</f>
        <v>3.7647058823529411</v>
      </c>
      <c r="K4" s="637">
        <f t="shared" si="0"/>
        <v>2.09375</v>
      </c>
      <c r="L4" s="637"/>
      <c r="M4" s="637"/>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88"/>
      <c r="C5" s="39"/>
      <c r="D5" s="39"/>
      <c r="E5" s="39"/>
      <c r="F5" s="46"/>
      <c r="G5" s="47"/>
      <c r="H5" s="89"/>
      <c r="I5" s="43">
        <v>2016</v>
      </c>
      <c r="J5" s="637">
        <f t="shared" si="0"/>
        <v>3.5</v>
      </c>
      <c r="K5" s="637"/>
      <c r="L5" s="637"/>
      <c r="M5" s="637"/>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x14ac:dyDescent="0.25">
      <c r="A6" s="42"/>
      <c r="B6" s="638"/>
      <c r="C6" s="639" t="s">
        <v>604</v>
      </c>
      <c r="D6" s="639"/>
      <c r="E6" s="639"/>
      <c r="F6" s="640"/>
      <c r="G6" s="47"/>
      <c r="H6" s="89"/>
      <c r="I6" s="43" t="s">
        <v>530</v>
      </c>
      <c r="J6" s="637">
        <f>AVERAGE(J3:J5)</f>
        <v>3.5549019607843135</v>
      </c>
      <c r="K6" s="637">
        <f t="shared" ref="K6:L6" si="1">AVERAGE(K3:K5)</f>
        <v>2.0860906862745097</v>
      </c>
      <c r="L6" s="637">
        <f t="shared" si="1"/>
        <v>1.5471698113207548</v>
      </c>
      <c r="M6" s="637"/>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thickBot="1" x14ac:dyDescent="0.3">
      <c r="A7" s="42"/>
      <c r="B7" s="219" t="s">
        <v>182</v>
      </c>
      <c r="C7" s="641">
        <v>12</v>
      </c>
      <c r="D7" s="641">
        <v>24</v>
      </c>
      <c r="E7" s="641">
        <v>36</v>
      </c>
      <c r="F7" s="642">
        <v>48</v>
      </c>
      <c r="G7" s="47"/>
      <c r="H7" s="89"/>
      <c r="I7" s="43" t="s">
        <v>162</v>
      </c>
      <c r="J7" s="637">
        <f t="shared" ref="J7:L7" si="2">K7*J6</f>
        <v>16.602264401640699</v>
      </c>
      <c r="K7" s="637">
        <f t="shared" si="2"/>
        <v>4.6702453639474664</v>
      </c>
      <c r="L7" s="637">
        <f t="shared" si="2"/>
        <v>2.2387547169811324</v>
      </c>
      <c r="M7" s="637">
        <f>B19</f>
        <v>1.4470000000000001</v>
      </c>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48.75" customHeight="1" x14ac:dyDescent="0.25">
      <c r="A8" s="42"/>
      <c r="B8" s="643">
        <v>2014</v>
      </c>
      <c r="C8" s="644">
        <v>750</v>
      </c>
      <c r="D8" s="645">
        <v>2550</v>
      </c>
      <c r="E8" s="645">
        <v>5300</v>
      </c>
      <c r="F8" s="646">
        <v>8200</v>
      </c>
      <c r="G8" s="57"/>
      <c r="H8" s="89"/>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42"/>
      <c r="B9" s="647">
        <v>2015</v>
      </c>
      <c r="C9" s="648">
        <v>850</v>
      </c>
      <c r="D9" s="649">
        <v>3200</v>
      </c>
      <c r="E9" s="649">
        <v>6700</v>
      </c>
      <c r="F9" s="61"/>
      <c r="G9" s="57"/>
      <c r="H9" s="89"/>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647">
        <v>2016</v>
      </c>
      <c r="C10" s="648">
        <v>1000</v>
      </c>
      <c r="D10" s="649">
        <v>3500</v>
      </c>
      <c r="E10" s="649"/>
      <c r="F10" s="61"/>
      <c r="G10" s="57"/>
      <c r="H10" s="89"/>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thickBot="1" x14ac:dyDescent="0.3">
      <c r="A11" s="42"/>
      <c r="B11" s="650">
        <v>2017</v>
      </c>
      <c r="C11" s="651">
        <v>1200</v>
      </c>
      <c r="D11" s="652"/>
      <c r="E11" s="652"/>
      <c r="F11" s="653"/>
      <c r="G11" s="57"/>
      <c r="H11" s="89"/>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213"/>
      <c r="C12" s="209"/>
      <c r="D12" s="209"/>
      <c r="E12" s="209"/>
      <c r="F12" s="218"/>
      <c r="G12" s="61"/>
      <c r="H12" s="89"/>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thickBot="1" x14ac:dyDescent="0.3">
      <c r="A13" s="42"/>
      <c r="B13" s="654" t="s">
        <v>191</v>
      </c>
      <c r="C13" s="655" t="s">
        <v>605</v>
      </c>
      <c r="D13" s="656"/>
      <c r="E13" s="656"/>
      <c r="F13" s="656"/>
      <c r="G13" s="61"/>
      <c r="H13" s="89"/>
      <c r="I13" s="635" t="s">
        <v>61</v>
      </c>
      <c r="J13" s="36" t="s">
        <v>162</v>
      </c>
      <c r="K13" s="36" t="s">
        <v>606</v>
      </c>
      <c r="L13" s="36" t="s">
        <v>124</v>
      </c>
      <c r="M13" s="36" t="s">
        <v>607</v>
      </c>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c r="B14" s="643">
        <v>2014</v>
      </c>
      <c r="C14" s="657">
        <v>23000</v>
      </c>
      <c r="D14" s="209"/>
      <c r="E14" s="209"/>
      <c r="F14" s="656"/>
      <c r="G14" s="61"/>
      <c r="H14" s="89"/>
      <c r="I14" s="43">
        <v>2014</v>
      </c>
      <c r="J14" s="539">
        <f>M7</f>
        <v>1.4470000000000001</v>
      </c>
      <c r="K14" s="658">
        <f>1/J14</f>
        <v>0.69108500345542501</v>
      </c>
      <c r="L14" s="141">
        <f>C14</f>
        <v>23000</v>
      </c>
      <c r="M14" s="659">
        <f>F8</f>
        <v>8200</v>
      </c>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647">
        <v>2015</v>
      </c>
      <c r="C15" s="660">
        <v>27000</v>
      </c>
      <c r="D15" s="209"/>
      <c r="E15" s="209"/>
      <c r="F15" s="656"/>
      <c r="G15" s="61"/>
      <c r="H15" s="89"/>
      <c r="I15" s="43">
        <v>2015</v>
      </c>
      <c r="J15" s="539">
        <f>L7</f>
        <v>2.2387547169811324</v>
      </c>
      <c r="K15" s="658">
        <f t="shared" ref="K15:K17" si="3">1/J15</f>
        <v>0.44667689247728687</v>
      </c>
      <c r="L15" s="141">
        <f t="shared" ref="L15:L17" si="4">C15</f>
        <v>27000</v>
      </c>
      <c r="M15" s="84">
        <f>E9</f>
        <v>6700</v>
      </c>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647">
        <v>2016</v>
      </c>
      <c r="C16" s="660">
        <v>31500</v>
      </c>
      <c r="D16" s="209"/>
      <c r="E16" s="209"/>
      <c r="F16" s="656"/>
      <c r="G16" s="61"/>
      <c r="H16" s="89"/>
      <c r="I16" s="43">
        <v>2016</v>
      </c>
      <c r="J16" s="539">
        <f>K7</f>
        <v>4.6702453639474664</v>
      </c>
      <c r="K16" s="658">
        <f t="shared" si="3"/>
        <v>0.21412151226991691</v>
      </c>
      <c r="L16" s="141">
        <f t="shared" si="4"/>
        <v>31500</v>
      </c>
      <c r="M16" s="84">
        <f>D10</f>
        <v>3500</v>
      </c>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thickBot="1" x14ac:dyDescent="0.3">
      <c r="A17" s="42"/>
      <c r="B17" s="650">
        <v>2017</v>
      </c>
      <c r="C17" s="661">
        <v>38250</v>
      </c>
      <c r="D17" s="209"/>
      <c r="E17" s="209"/>
      <c r="F17" s="656"/>
      <c r="G17" s="61"/>
      <c r="H17" s="89"/>
      <c r="I17" s="43">
        <v>2017</v>
      </c>
      <c r="J17" s="539">
        <f>J7</f>
        <v>16.602264401640699</v>
      </c>
      <c r="K17" s="658">
        <f t="shared" si="3"/>
        <v>6.023274752214982E-2</v>
      </c>
      <c r="L17" s="141">
        <f t="shared" si="4"/>
        <v>38250</v>
      </c>
      <c r="M17" s="84">
        <f>C11</f>
        <v>1200</v>
      </c>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thickBot="1" x14ac:dyDescent="0.3">
      <c r="A18" s="42"/>
      <c r="B18" s="427"/>
      <c r="C18" s="662"/>
      <c r="D18" s="209"/>
      <c r="E18" s="209"/>
      <c r="F18" s="656"/>
      <c r="G18" s="61"/>
      <c r="H18" s="89"/>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thickBot="1" x14ac:dyDescent="0.3">
      <c r="A19" s="42"/>
      <c r="B19" s="663">
        <v>1.4470000000000001</v>
      </c>
      <c r="C19" s="664" t="s">
        <v>608</v>
      </c>
      <c r="D19" s="665"/>
      <c r="E19" s="665"/>
      <c r="F19" s="666"/>
      <c r="G19" s="61"/>
      <c r="H19" s="89"/>
      <c r="I19" s="36"/>
      <c r="J19" s="36"/>
      <c r="K19" s="36"/>
      <c r="L19" s="667" t="s">
        <v>609</v>
      </c>
      <c r="M19" s="668">
        <f>SUM(M14:M17)/SUMPRODUCT(K14:K17,L14:L17)</f>
        <v>0.52967302027942265</v>
      </c>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c r="B20" s="133"/>
      <c r="C20" s="209"/>
      <c r="D20" s="209"/>
      <c r="E20" s="209"/>
      <c r="F20" s="656"/>
      <c r="G20" s="61"/>
      <c r="H20" s="82"/>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133" t="s">
        <v>610</v>
      </c>
      <c r="C21" s="39"/>
      <c r="D21" s="39"/>
      <c r="E21" s="39"/>
      <c r="F21" s="39"/>
      <c r="G21" s="40"/>
      <c r="H21" s="82"/>
      <c r="I21" s="36"/>
      <c r="J21" s="36"/>
      <c r="K21" s="36"/>
      <c r="L21" s="198" t="s">
        <v>611</v>
      </c>
      <c r="M21" s="669">
        <f>M19*C17*(1-K17)</f>
        <v>19039.677980971141</v>
      </c>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thickBot="1" x14ac:dyDescent="0.3">
      <c r="A22" s="75"/>
      <c r="B22" s="257"/>
      <c r="C22" s="257"/>
      <c r="D22" s="257"/>
      <c r="E22" s="257"/>
      <c r="F22" s="257"/>
      <c r="G22" s="469"/>
      <c r="H22" s="122"/>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670"/>
      <c r="B23" s="670"/>
      <c r="C23" s="670"/>
      <c r="D23" s="670"/>
      <c r="E23" s="670"/>
      <c r="F23" s="670"/>
      <c r="G23" s="670"/>
      <c r="H23" s="670"/>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82"/>
      <c r="B24" s="82"/>
      <c r="C24" s="82"/>
      <c r="D24" s="82"/>
      <c r="E24" s="82"/>
      <c r="F24" s="82"/>
      <c r="G24" s="82"/>
      <c r="H24" s="82"/>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82"/>
      <c r="B25" s="82"/>
      <c r="C25" s="82"/>
      <c r="D25" s="82"/>
      <c r="E25" s="82"/>
      <c r="F25" s="82"/>
      <c r="G25" s="82"/>
      <c r="H25" s="82"/>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82"/>
      <c r="B26" s="82"/>
      <c r="C26" s="82"/>
      <c r="D26" s="82"/>
      <c r="E26" s="82"/>
      <c r="F26" s="82"/>
      <c r="G26" s="82"/>
      <c r="H26" s="82"/>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
      <c r="B27" s="82"/>
      <c r="C27" s="82"/>
      <c r="D27" s="82"/>
      <c r="E27" s="82"/>
      <c r="F27" s="82"/>
      <c r="G27" s="82"/>
      <c r="H27" s="82"/>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82"/>
      <c r="B28" s="82"/>
      <c r="C28" s="82"/>
      <c r="D28" s="82"/>
      <c r="E28" s="82"/>
      <c r="F28" s="82"/>
      <c r="G28" s="82"/>
      <c r="H28" s="82"/>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82"/>
      <c r="B29" s="82"/>
      <c r="C29" s="82"/>
      <c r="D29" s="82"/>
      <c r="E29" s="82"/>
      <c r="F29" s="82"/>
      <c r="G29" s="82"/>
      <c r="H29" s="82"/>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82"/>
      <c r="H30" s="82"/>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c r="C31" s="82"/>
      <c r="D31" s="82"/>
      <c r="E31" s="82"/>
      <c r="F31" s="82"/>
      <c r="G31" s="82"/>
      <c r="H31" s="82"/>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82"/>
      <c r="D32" s="82"/>
      <c r="E32" s="82"/>
      <c r="F32" s="82"/>
      <c r="G32" s="82"/>
      <c r="H32" s="82"/>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c r="C33" s="82"/>
      <c r="D33" s="82"/>
      <c r="E33" s="82"/>
      <c r="F33" s="82"/>
      <c r="G33" s="82"/>
      <c r="H33" s="82"/>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c r="C34" s="82"/>
      <c r="D34" s="82"/>
      <c r="E34" s="82"/>
      <c r="F34" s="82"/>
      <c r="G34" s="82"/>
      <c r="H34" s="82"/>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82"/>
      <c r="H35" s="82"/>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c r="C36" s="82"/>
      <c r="D36" s="82"/>
      <c r="E36" s="82"/>
      <c r="F36" s="82"/>
      <c r="G36" s="82"/>
      <c r="H36" s="82"/>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c r="C37" s="82"/>
      <c r="D37" s="82"/>
      <c r="E37" s="82"/>
      <c r="F37" s="82"/>
      <c r="G37" s="82"/>
      <c r="H37" s="82"/>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c r="D38" s="82"/>
      <c r="E38" s="82"/>
      <c r="F38" s="82"/>
      <c r="G38" s="82"/>
      <c r="H38" s="82"/>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82"/>
      <c r="H39" s="82"/>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82"/>
      <c r="H40" s="82"/>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82"/>
      <c r="H61" s="82"/>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row r="201" spans="1:52" x14ac:dyDescent="0.25"/>
    <row r="202" spans="1:52" x14ac:dyDescent="0.25"/>
    <row r="203" spans="1:52" x14ac:dyDescent="0.25"/>
    <row r="204" spans="1:52" x14ac:dyDescent="0.25"/>
    <row r="205" spans="1:52" x14ac:dyDescent="0.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Z205"/>
  <sheetViews>
    <sheetView workbookViewId="0"/>
  </sheetViews>
  <sheetFormatPr defaultColWidth="0" defaultRowHeight="15" zeroHeight="1" x14ac:dyDescent="0.25"/>
  <cols>
    <col min="1" max="4" width="11.125" style="37" customWidth="1"/>
    <col min="5" max="6" width="9.375" style="37" customWidth="1"/>
    <col min="7" max="7" width="13.875" style="37" customWidth="1"/>
    <col min="8" max="49" width="9.375" style="37" customWidth="1"/>
    <col min="50" max="16384" width="9.375" style="37" hidden="1"/>
  </cols>
  <sheetData>
    <row r="1" spans="1:52" ht="15.75" customHeight="1" thickBot="1" x14ac:dyDescent="0.3">
      <c r="A1" s="1">
        <v>18</v>
      </c>
      <c r="B1" s="2"/>
      <c r="C1" s="33"/>
      <c r="D1" s="33"/>
      <c r="E1" s="33"/>
      <c r="F1" s="33"/>
      <c r="G1" s="34"/>
      <c r="H1" s="82"/>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40"/>
      <c r="H2" s="82"/>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1.5</v>
      </c>
      <c r="B3" s="39"/>
      <c r="C3" s="39"/>
      <c r="D3" s="39"/>
      <c r="E3" s="39"/>
      <c r="F3" s="39"/>
      <c r="G3" s="40"/>
      <c r="H3" s="82"/>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455</v>
      </c>
      <c r="C4" s="39"/>
      <c r="D4" s="39"/>
      <c r="E4" s="39"/>
      <c r="F4" s="46"/>
      <c r="G4" s="47"/>
      <c r="H4" s="89"/>
      <c r="I4" s="36"/>
      <c r="J4" s="36"/>
      <c r="K4" s="452" t="s">
        <v>183</v>
      </c>
      <c r="L4" s="452" t="s">
        <v>184</v>
      </c>
      <c r="M4" s="452" t="s">
        <v>587</v>
      </c>
      <c r="N4" s="452" t="s">
        <v>560</v>
      </c>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88"/>
      <c r="C5" s="39"/>
      <c r="D5" s="39"/>
      <c r="E5" s="39"/>
      <c r="F5" s="46"/>
      <c r="G5" s="47"/>
      <c r="H5" s="89"/>
      <c r="I5" s="36"/>
      <c r="J5" s="36" t="s">
        <v>236</v>
      </c>
      <c r="K5" s="637">
        <f>SUM(D8:D10)/SUM(C8:C10)</f>
        <v>3.5576923076923075</v>
      </c>
      <c r="L5" s="637">
        <f>SUM(E8:E9)/SUM(D8:D9)</f>
        <v>2.0869565217391304</v>
      </c>
      <c r="M5" s="637">
        <f>SUM(F8)/SUM(E8)</f>
        <v>1.5471698113207548</v>
      </c>
      <c r="N5" s="637">
        <f>B19</f>
        <v>1.4470000000000001</v>
      </c>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x14ac:dyDescent="0.25">
      <c r="A6" s="42"/>
      <c r="B6" s="638"/>
      <c r="C6" s="639" t="s">
        <v>604</v>
      </c>
      <c r="D6" s="639"/>
      <c r="E6" s="639"/>
      <c r="F6" s="640"/>
      <c r="G6" s="47"/>
      <c r="H6" s="89"/>
      <c r="I6" s="36"/>
      <c r="J6" s="36" t="s">
        <v>162</v>
      </c>
      <c r="K6" s="637">
        <f>L6*K5</f>
        <v>16.622192213037167</v>
      </c>
      <c r="L6" s="637">
        <f>M6*L5</f>
        <v>4.6721837571780149</v>
      </c>
      <c r="M6" s="637">
        <f>N6*M5</f>
        <v>2.2387547169811324</v>
      </c>
      <c r="N6" s="637">
        <f>N5</f>
        <v>1.4470000000000001</v>
      </c>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thickBot="1" x14ac:dyDescent="0.3">
      <c r="A7" s="42"/>
      <c r="B7" s="219" t="s">
        <v>182</v>
      </c>
      <c r="C7" s="641">
        <v>12</v>
      </c>
      <c r="D7" s="641">
        <v>24</v>
      </c>
      <c r="E7" s="641">
        <v>36</v>
      </c>
      <c r="F7" s="642">
        <v>48</v>
      </c>
      <c r="G7" s="47"/>
      <c r="H7" s="89"/>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48.75" customHeight="1" x14ac:dyDescent="0.25">
      <c r="A8" s="42"/>
      <c r="B8" s="643">
        <v>2014</v>
      </c>
      <c r="C8" s="644">
        <v>750</v>
      </c>
      <c r="D8" s="645">
        <v>2550</v>
      </c>
      <c r="E8" s="645">
        <v>5300</v>
      </c>
      <c r="F8" s="646">
        <v>8200</v>
      </c>
      <c r="G8" s="57"/>
      <c r="H8" s="89"/>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42"/>
      <c r="B9" s="647">
        <v>2015</v>
      </c>
      <c r="C9" s="648">
        <v>850</v>
      </c>
      <c r="D9" s="649">
        <v>3200</v>
      </c>
      <c r="E9" s="649">
        <v>6700</v>
      </c>
      <c r="F9" s="61"/>
      <c r="G9" s="57"/>
      <c r="H9" s="89"/>
      <c r="I9" s="36"/>
      <c r="J9" s="36" t="s">
        <v>612</v>
      </c>
      <c r="K9" s="671">
        <f>(F8+E9+D10+C11)/(C14/N6+C15/M6+C16/L6+C17/K6)</f>
        <v>0.52975262305768134</v>
      </c>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647">
        <v>2016</v>
      </c>
      <c r="C10" s="648">
        <v>1000</v>
      </c>
      <c r="D10" s="649">
        <v>3500</v>
      </c>
      <c r="E10" s="649"/>
      <c r="F10" s="61"/>
      <c r="G10" s="57"/>
      <c r="H10" s="89"/>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thickBot="1" x14ac:dyDescent="0.3">
      <c r="A11" s="42"/>
      <c r="B11" s="650">
        <v>2017</v>
      </c>
      <c r="C11" s="651">
        <v>1200</v>
      </c>
      <c r="D11" s="652"/>
      <c r="E11" s="652"/>
      <c r="F11" s="653"/>
      <c r="G11" s="57"/>
      <c r="H11" s="89"/>
      <c r="I11" s="36"/>
      <c r="J11" s="36" t="s">
        <v>563</v>
      </c>
      <c r="K11" s="672">
        <f>(1-1/K6)*K9*C17</f>
        <v>19044.002606502501</v>
      </c>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213"/>
      <c r="C12" s="209"/>
      <c r="D12" s="209"/>
      <c r="E12" s="209"/>
      <c r="F12" s="218"/>
      <c r="G12" s="61"/>
      <c r="H12" s="89"/>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thickBot="1" x14ac:dyDescent="0.3">
      <c r="A13" s="42"/>
      <c r="B13" s="654" t="s">
        <v>191</v>
      </c>
      <c r="C13" s="655" t="s">
        <v>605</v>
      </c>
      <c r="D13" s="656"/>
      <c r="E13" s="656"/>
      <c r="F13" s="656"/>
      <c r="G13" s="61"/>
      <c r="H13" s="89"/>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c r="B14" s="643">
        <v>2014</v>
      </c>
      <c r="C14" s="657">
        <v>23000</v>
      </c>
      <c r="D14" s="209"/>
      <c r="E14" s="209"/>
      <c r="F14" s="656"/>
      <c r="G14" s="61"/>
      <c r="H14" s="89"/>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647">
        <v>2015</v>
      </c>
      <c r="C15" s="660">
        <v>27000</v>
      </c>
      <c r="D15" s="209"/>
      <c r="E15" s="209"/>
      <c r="F15" s="656"/>
      <c r="G15" s="61"/>
      <c r="H15" s="89"/>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647">
        <v>2016</v>
      </c>
      <c r="C16" s="660">
        <v>31500</v>
      </c>
      <c r="D16" s="209"/>
      <c r="E16" s="209"/>
      <c r="F16" s="656"/>
      <c r="G16" s="61"/>
      <c r="H16" s="89"/>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thickBot="1" x14ac:dyDescent="0.3">
      <c r="A17" s="42"/>
      <c r="B17" s="650">
        <v>2017</v>
      </c>
      <c r="C17" s="661">
        <v>38250</v>
      </c>
      <c r="D17" s="209"/>
      <c r="E17" s="209"/>
      <c r="F17" s="656"/>
      <c r="G17" s="61"/>
      <c r="H17" s="89"/>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thickBot="1" x14ac:dyDescent="0.3">
      <c r="A18" s="42"/>
      <c r="B18" s="427"/>
      <c r="C18" s="662"/>
      <c r="D18" s="209"/>
      <c r="E18" s="209"/>
      <c r="F18" s="656"/>
      <c r="G18" s="61"/>
      <c r="H18" s="89"/>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thickBot="1" x14ac:dyDescent="0.3">
      <c r="A19" s="42"/>
      <c r="B19" s="663">
        <v>1.4470000000000001</v>
      </c>
      <c r="C19" s="664" t="s">
        <v>608</v>
      </c>
      <c r="D19" s="665"/>
      <c r="E19" s="665"/>
      <c r="F19" s="666"/>
      <c r="G19" s="61"/>
      <c r="H19" s="89"/>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c r="B20" s="133"/>
      <c r="C20" s="209"/>
      <c r="D20" s="209"/>
      <c r="E20" s="209"/>
      <c r="F20" s="656"/>
      <c r="G20" s="61"/>
      <c r="H20" s="82"/>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133" t="s">
        <v>610</v>
      </c>
      <c r="C21" s="39"/>
      <c r="D21" s="39"/>
      <c r="E21" s="39"/>
      <c r="F21" s="39"/>
      <c r="G21" s="40"/>
      <c r="H21" s="82"/>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thickBot="1" x14ac:dyDescent="0.3">
      <c r="A22" s="75"/>
      <c r="B22" s="257"/>
      <c r="C22" s="257"/>
      <c r="D22" s="257"/>
      <c r="E22" s="257"/>
      <c r="F22" s="257"/>
      <c r="G22" s="469"/>
      <c r="H22" s="122"/>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670"/>
      <c r="B23" s="670"/>
      <c r="C23" s="670"/>
      <c r="D23" s="670"/>
      <c r="E23" s="670"/>
      <c r="F23" s="670"/>
      <c r="G23" s="670"/>
      <c r="H23" s="670"/>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82"/>
      <c r="B24" s="82"/>
      <c r="C24" s="82"/>
      <c r="D24" s="82"/>
      <c r="E24" s="82"/>
      <c r="F24" s="82"/>
      <c r="G24" s="82"/>
      <c r="H24" s="82"/>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82"/>
      <c r="B25" s="82"/>
      <c r="C25" s="82"/>
      <c r="D25" s="82"/>
      <c r="E25" s="82"/>
      <c r="F25" s="82"/>
      <c r="G25" s="82"/>
      <c r="H25" s="82"/>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82"/>
      <c r="B26" s="82"/>
      <c r="C26" s="82"/>
      <c r="D26" s="82"/>
      <c r="E26" s="82"/>
      <c r="F26" s="82"/>
      <c r="G26" s="82"/>
      <c r="H26" s="82"/>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
      <c r="B27" s="82"/>
      <c r="C27" s="82"/>
      <c r="D27" s="82"/>
      <c r="E27" s="82"/>
      <c r="F27" s="82"/>
      <c r="G27" s="82"/>
      <c r="H27" s="82"/>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82"/>
      <c r="B28" s="82"/>
      <c r="C28" s="82"/>
      <c r="D28" s="82"/>
      <c r="E28" s="82"/>
      <c r="F28" s="82"/>
      <c r="G28" s="82"/>
      <c r="H28" s="82"/>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82"/>
      <c r="B29" s="82"/>
      <c r="C29" s="82"/>
      <c r="D29" s="82"/>
      <c r="E29" s="82"/>
      <c r="F29" s="82"/>
      <c r="G29" s="82"/>
      <c r="H29" s="82"/>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82"/>
      <c r="H30" s="82"/>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c r="C31" s="82"/>
      <c r="D31" s="82"/>
      <c r="E31" s="82"/>
      <c r="F31" s="82"/>
      <c r="G31" s="82"/>
      <c r="H31" s="82"/>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82"/>
      <c r="D32" s="82"/>
      <c r="E32" s="82"/>
      <c r="F32" s="82"/>
      <c r="G32" s="82"/>
      <c r="H32" s="82"/>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c r="C33" s="82"/>
      <c r="D33" s="82"/>
      <c r="E33" s="82"/>
      <c r="F33" s="82"/>
      <c r="G33" s="82"/>
      <c r="H33" s="82"/>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c r="C34" s="82"/>
      <c r="D34" s="82"/>
      <c r="E34" s="82"/>
      <c r="F34" s="82"/>
      <c r="G34" s="82"/>
      <c r="H34" s="82"/>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82"/>
      <c r="H35" s="82"/>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c r="C36" s="82"/>
      <c r="D36" s="82"/>
      <c r="E36" s="82"/>
      <c r="F36" s="82"/>
      <c r="G36" s="82"/>
      <c r="H36" s="82"/>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c r="C37" s="82"/>
      <c r="D37" s="82"/>
      <c r="E37" s="82"/>
      <c r="F37" s="82"/>
      <c r="G37" s="82"/>
      <c r="H37" s="82"/>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c r="D38" s="82"/>
      <c r="E38" s="82"/>
      <c r="F38" s="82"/>
      <c r="G38" s="82"/>
      <c r="H38" s="82"/>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82"/>
      <c r="H39" s="82"/>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82"/>
      <c r="H40" s="82"/>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82"/>
      <c r="H61" s="82"/>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row r="201" spans="1:52" x14ac:dyDescent="0.25"/>
    <row r="202" spans="1:52" x14ac:dyDescent="0.25"/>
    <row r="203" spans="1:52" x14ac:dyDescent="0.25"/>
    <row r="204" spans="1:52" x14ac:dyDescent="0.25"/>
    <row r="205" spans="1:52"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Z200"/>
  <sheetViews>
    <sheetView workbookViewId="0"/>
  </sheetViews>
  <sheetFormatPr defaultColWidth="0" defaultRowHeight="0" customHeight="1" zeroHeight="1" x14ac:dyDescent="0.25"/>
  <cols>
    <col min="1" max="1" width="18.125" style="37" customWidth="1"/>
    <col min="2" max="2" width="21.375" style="37" customWidth="1"/>
    <col min="3" max="3" width="16.125" style="37" bestFit="1" customWidth="1"/>
    <col min="4" max="4" width="12.25" style="37" bestFit="1" customWidth="1"/>
    <col min="5" max="5" width="19.875" style="37" bestFit="1" customWidth="1"/>
    <col min="6" max="6" width="16.875" style="37" bestFit="1" customWidth="1"/>
    <col min="7" max="7" width="12.625" style="37" bestFit="1" customWidth="1"/>
    <col min="8" max="49" width="10.625" style="37" customWidth="1"/>
    <col min="50" max="16384" width="10.625" style="37" hidden="1"/>
  </cols>
  <sheetData>
    <row r="1" spans="1:52" ht="15.75" thickBot="1" x14ac:dyDescent="0.3">
      <c r="A1" s="1">
        <v>2</v>
      </c>
      <c r="B1" s="2"/>
      <c r="C1" s="33"/>
      <c r="D1" s="33"/>
      <c r="E1" s="33"/>
      <c r="F1" s="33"/>
      <c r="G1" s="33"/>
      <c r="H1" s="34"/>
      <c r="I1" s="8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40"/>
      <c r="I2" s="82"/>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1.75</v>
      </c>
      <c r="B3" s="39"/>
      <c r="C3" s="39"/>
      <c r="D3" s="39"/>
      <c r="E3" s="39"/>
      <c r="F3" s="39"/>
      <c r="G3" s="39"/>
      <c r="H3" s="40"/>
      <c r="I3" s="82"/>
      <c r="J3" s="83"/>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44" t="s">
        <v>29</v>
      </c>
      <c r="C4" s="45"/>
      <c r="D4" s="45"/>
      <c r="E4" s="45"/>
      <c r="F4" s="39"/>
      <c r="G4" s="46"/>
      <c r="H4" s="47"/>
      <c r="I4" s="82"/>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49"/>
      <c r="C5" s="45"/>
      <c r="D5" s="45"/>
      <c r="E5" s="45"/>
      <c r="F5" s="45"/>
      <c r="G5" s="46"/>
      <c r="H5" s="47"/>
      <c r="I5" s="82" t="s">
        <v>19</v>
      </c>
      <c r="J5" s="36"/>
      <c r="K5" s="36" t="s">
        <v>56</v>
      </c>
      <c r="L5" s="36" t="s">
        <v>56</v>
      </c>
      <c r="M5" s="83" t="s">
        <v>56</v>
      </c>
      <c r="N5" s="36" t="s">
        <v>57</v>
      </c>
      <c r="O5" s="36" t="s">
        <v>57</v>
      </c>
      <c r="P5" s="83" t="s">
        <v>57</v>
      </c>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41.25" customHeight="1" thickBot="1" x14ac:dyDescent="0.3">
      <c r="A6" s="42"/>
      <c r="B6" s="50" t="s">
        <v>34</v>
      </c>
      <c r="C6" s="51" t="s">
        <v>35</v>
      </c>
      <c r="D6" s="51" t="s">
        <v>36</v>
      </c>
      <c r="E6" s="51" t="s">
        <v>3</v>
      </c>
      <c r="F6" s="52" t="s">
        <v>37</v>
      </c>
      <c r="G6" s="53" t="s">
        <v>38</v>
      </c>
      <c r="H6" s="47"/>
      <c r="I6" s="82"/>
      <c r="J6" s="36" t="s">
        <v>2</v>
      </c>
      <c r="K6" s="36" t="s">
        <v>58</v>
      </c>
      <c r="L6" s="36" t="s">
        <v>59</v>
      </c>
      <c r="M6" s="36" t="s">
        <v>60</v>
      </c>
      <c r="N6" s="36" t="s">
        <v>58</v>
      </c>
      <c r="O6" s="36" t="s">
        <v>59</v>
      </c>
      <c r="P6" s="36" t="s">
        <v>60</v>
      </c>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1180" t="s">
        <v>6</v>
      </c>
      <c r="C7" s="1183">
        <v>42370</v>
      </c>
      <c r="D7" s="1183">
        <v>42554</v>
      </c>
      <c r="E7" s="54">
        <v>42556</v>
      </c>
      <c r="F7" s="55">
        <v>0</v>
      </c>
      <c r="G7" s="56">
        <v>2000</v>
      </c>
      <c r="H7" s="57"/>
      <c r="I7" s="82"/>
      <c r="J7" s="83" t="s">
        <v>6</v>
      </c>
      <c r="K7" s="84">
        <f>F8</f>
        <v>1000</v>
      </c>
      <c r="L7" s="84">
        <f>G8</f>
        <v>3000</v>
      </c>
      <c r="M7" s="84">
        <f>SUM(K7:L7)</f>
        <v>4000</v>
      </c>
      <c r="N7" s="84">
        <f>F9</f>
        <v>3500</v>
      </c>
      <c r="O7" s="84">
        <f>G9-G8</f>
        <v>-3000</v>
      </c>
      <c r="P7" s="84">
        <f>SUM(N7:O7)</f>
        <v>500</v>
      </c>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10"/>
      <c r="B8" s="1181"/>
      <c r="C8" s="1184"/>
      <c r="D8" s="1184"/>
      <c r="E8" s="58">
        <v>42628</v>
      </c>
      <c r="F8" s="59">
        <v>1000</v>
      </c>
      <c r="G8" s="60">
        <v>3000</v>
      </c>
      <c r="H8" s="61"/>
      <c r="I8" s="82"/>
      <c r="J8" s="83" t="s">
        <v>8</v>
      </c>
      <c r="K8" s="36">
        <v>0</v>
      </c>
      <c r="L8" s="36">
        <v>0</v>
      </c>
      <c r="M8" s="84">
        <f>SUM(K8:L8)</f>
        <v>0</v>
      </c>
      <c r="N8" s="84">
        <f>SUM(F10:F11)</f>
        <v>3000</v>
      </c>
      <c r="O8" s="84">
        <f>G11</f>
        <v>3000</v>
      </c>
      <c r="P8" s="84">
        <f>SUM(N8:O8)</f>
        <v>6000</v>
      </c>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thickBot="1" x14ac:dyDescent="0.3">
      <c r="A9" s="42"/>
      <c r="B9" s="1182"/>
      <c r="C9" s="1185"/>
      <c r="D9" s="1185"/>
      <c r="E9" s="62">
        <v>42738</v>
      </c>
      <c r="F9" s="63">
        <v>3500</v>
      </c>
      <c r="G9" s="64">
        <v>0</v>
      </c>
      <c r="H9" s="40"/>
      <c r="I9" s="82"/>
      <c r="J9" s="36"/>
      <c r="K9" s="36"/>
      <c r="L9" s="36"/>
      <c r="M9" s="85">
        <f>SUM(M7:M8)</f>
        <v>4000</v>
      </c>
      <c r="N9" s="36"/>
      <c r="O9" s="36"/>
      <c r="P9" s="85">
        <f>SUM(P7:P8)</f>
        <v>6500</v>
      </c>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1180" t="s">
        <v>8</v>
      </c>
      <c r="C10" s="1183">
        <v>42644</v>
      </c>
      <c r="D10" s="1183">
        <v>42856</v>
      </c>
      <c r="E10" s="54">
        <v>42856</v>
      </c>
      <c r="F10" s="55">
        <v>500</v>
      </c>
      <c r="G10" s="56">
        <v>5000</v>
      </c>
      <c r="H10" s="40"/>
      <c r="I10" s="82"/>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1181"/>
      <c r="C11" s="1184"/>
      <c r="D11" s="1184"/>
      <c r="E11" s="58">
        <v>43041</v>
      </c>
      <c r="F11" s="59">
        <v>2500</v>
      </c>
      <c r="G11" s="60">
        <v>3000</v>
      </c>
      <c r="H11" s="40"/>
      <c r="I11" s="82"/>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1182"/>
      <c r="C12" s="1185"/>
      <c r="D12" s="1185"/>
      <c r="E12" s="62">
        <v>43102</v>
      </c>
      <c r="F12" s="63">
        <v>5000</v>
      </c>
      <c r="G12" s="64">
        <v>0</v>
      </c>
      <c r="H12" s="40"/>
      <c r="I12" s="82"/>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49"/>
      <c r="C13" s="45"/>
      <c r="D13" s="45"/>
      <c r="E13" s="45"/>
      <c r="F13" s="39"/>
      <c r="G13" s="46"/>
      <c r="H13" s="40"/>
      <c r="I13" s="83" t="s">
        <v>21</v>
      </c>
      <c r="J13" s="36" t="s">
        <v>61</v>
      </c>
      <c r="K13" s="36" t="s">
        <v>62</v>
      </c>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v>0.5</v>
      </c>
      <c r="B14" s="45" t="s">
        <v>46</v>
      </c>
      <c r="C14" s="45"/>
      <c r="D14" s="45"/>
      <c r="E14" s="45"/>
      <c r="F14" s="39"/>
      <c r="G14" s="46"/>
      <c r="H14" s="40"/>
      <c r="I14" s="82"/>
      <c r="J14" s="36">
        <v>2016</v>
      </c>
      <c r="K14" s="85">
        <f>M7+P7</f>
        <v>4500</v>
      </c>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44" t="s">
        <v>48</v>
      </c>
      <c r="C15" s="45"/>
      <c r="D15" s="45"/>
      <c r="E15" s="45"/>
      <c r="F15" s="39"/>
      <c r="G15" s="46"/>
      <c r="H15" s="40"/>
      <c r="I15" s="82"/>
      <c r="J15" s="36">
        <v>2017</v>
      </c>
      <c r="K15" s="85">
        <f>M8+P8</f>
        <v>6000</v>
      </c>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65" t="s">
        <v>49</v>
      </c>
      <c r="C16" s="66"/>
      <c r="D16" s="45"/>
      <c r="E16" s="45"/>
      <c r="F16" s="39"/>
      <c r="G16" s="46"/>
      <c r="H16" s="40"/>
      <c r="I16" s="82"/>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65" t="s">
        <v>50</v>
      </c>
      <c r="C17" s="66"/>
      <c r="D17" s="45"/>
      <c r="E17" s="45"/>
      <c r="F17" s="39"/>
      <c r="G17" s="46"/>
      <c r="H17" s="40"/>
      <c r="I17" s="82"/>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67"/>
      <c r="C18" s="66"/>
      <c r="D18" s="45"/>
      <c r="E18" s="45"/>
      <c r="F18" s="39"/>
      <c r="G18" s="46"/>
      <c r="H18" s="40"/>
      <c r="I18" s="82"/>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2">
        <v>0.5</v>
      </c>
      <c r="B19" s="45" t="s">
        <v>21</v>
      </c>
      <c r="C19" s="66"/>
      <c r="D19" s="45"/>
      <c r="E19" s="45"/>
      <c r="F19" s="39"/>
      <c r="G19" s="39"/>
      <c r="H19" s="40"/>
      <c r="I19" s="82" t="s">
        <v>52</v>
      </c>
      <c r="J19" s="36" t="s">
        <v>63</v>
      </c>
      <c r="K19" s="36" t="s">
        <v>62</v>
      </c>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c r="B20" s="44" t="s">
        <v>51</v>
      </c>
      <c r="C20" s="66"/>
      <c r="D20" s="45"/>
      <c r="E20" s="45"/>
      <c r="F20" s="39"/>
      <c r="G20" s="39"/>
      <c r="H20" s="40"/>
      <c r="I20" s="82"/>
      <c r="J20" s="36">
        <v>2016</v>
      </c>
      <c r="K20" s="85">
        <f>SUM(K14:K15)</f>
        <v>10500</v>
      </c>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65" t="s">
        <v>49</v>
      </c>
      <c r="C21" s="66"/>
      <c r="D21" s="45"/>
      <c r="E21" s="45"/>
      <c r="F21" s="39"/>
      <c r="G21" s="39"/>
      <c r="H21" s="40"/>
      <c r="I21" s="82"/>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c r="B22" s="65" t="s">
        <v>50</v>
      </c>
      <c r="C22" s="66"/>
      <c r="D22" s="45"/>
      <c r="E22" s="45"/>
      <c r="F22" s="39"/>
      <c r="G22" s="39"/>
      <c r="H22" s="40"/>
      <c r="I22" s="82"/>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c r="B23" s="44"/>
      <c r="C23" s="66"/>
      <c r="D23" s="45"/>
      <c r="E23" s="45"/>
      <c r="F23" s="39"/>
      <c r="G23" s="39"/>
      <c r="H23" s="40"/>
      <c r="I23" s="82" t="s">
        <v>54</v>
      </c>
      <c r="J23" s="36" t="s">
        <v>64</v>
      </c>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v>0.25</v>
      </c>
      <c r="B24" s="45" t="s">
        <v>52</v>
      </c>
      <c r="C24" s="66"/>
      <c r="D24" s="45"/>
      <c r="E24" s="45"/>
      <c r="F24" s="39"/>
      <c r="G24" s="39"/>
      <c r="H24" s="40"/>
      <c r="I24" s="82"/>
      <c r="J24" s="36" t="s">
        <v>65</v>
      </c>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2"/>
      <c r="B25" s="44" t="s">
        <v>53</v>
      </c>
      <c r="C25" s="66"/>
      <c r="D25" s="45"/>
      <c r="E25" s="45"/>
      <c r="F25" s="39"/>
      <c r="G25" s="39"/>
      <c r="H25" s="40"/>
      <c r="I25" s="82"/>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42"/>
      <c r="B26" s="45"/>
      <c r="C26" s="45"/>
      <c r="D26" s="45"/>
      <c r="E26" s="45"/>
      <c r="F26" s="39"/>
      <c r="G26" s="39"/>
      <c r="H26" s="40"/>
      <c r="I26" s="82"/>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42">
        <v>0.5</v>
      </c>
      <c r="B27" s="45" t="s">
        <v>54</v>
      </c>
      <c r="C27" s="45"/>
      <c r="D27" s="68"/>
      <c r="E27" s="69"/>
      <c r="F27" s="70"/>
      <c r="G27" s="71"/>
      <c r="H27" s="40"/>
      <c r="I27" s="82"/>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10"/>
      <c r="B28" s="44" t="s">
        <v>55</v>
      </c>
      <c r="C28" s="45"/>
      <c r="D28" s="72"/>
      <c r="E28" s="72"/>
      <c r="F28" s="72"/>
      <c r="G28" s="72"/>
      <c r="H28" s="73"/>
      <c r="I28" s="8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thickBot="1" x14ac:dyDescent="0.3">
      <c r="A29" s="75"/>
      <c r="B29" s="76"/>
      <c r="C29" s="76"/>
      <c r="D29" s="76"/>
      <c r="E29" s="76"/>
      <c r="F29" s="76"/>
      <c r="G29" s="76"/>
      <c r="H29" s="77"/>
      <c r="I29" s="82"/>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82"/>
      <c r="H30" s="82"/>
      <c r="I30" s="82"/>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c r="C31" s="82"/>
      <c r="D31" s="82"/>
      <c r="E31" s="82"/>
      <c r="F31" s="82"/>
      <c r="G31" s="82"/>
      <c r="H31" s="82"/>
      <c r="I31" s="82"/>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82"/>
      <c r="D32" s="82"/>
      <c r="E32" s="82"/>
      <c r="F32" s="82"/>
      <c r="G32" s="82"/>
      <c r="H32" s="82"/>
      <c r="I32" s="82"/>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c r="C33" s="82"/>
      <c r="D33" s="82"/>
      <c r="E33" s="82"/>
      <c r="F33" s="82"/>
      <c r="G33" s="82"/>
      <c r="H33" s="82"/>
      <c r="I33" s="82"/>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c r="C34" s="82"/>
      <c r="D34" s="82"/>
      <c r="E34" s="82"/>
      <c r="F34" s="82"/>
      <c r="G34" s="82"/>
      <c r="H34" s="82"/>
      <c r="I34" s="82"/>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82"/>
      <c r="H35" s="82"/>
      <c r="I35" s="82"/>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c r="C36" s="82"/>
      <c r="D36" s="82"/>
      <c r="E36" s="82"/>
      <c r="F36" s="82"/>
      <c r="G36" s="82"/>
      <c r="H36" s="82"/>
      <c r="I36" s="82"/>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c r="C37" s="82"/>
      <c r="D37" s="82"/>
      <c r="E37" s="82"/>
      <c r="F37" s="82"/>
      <c r="G37" s="82"/>
      <c r="H37" s="82"/>
      <c r="I37" s="82"/>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c r="D38" s="82"/>
      <c r="E38" s="82"/>
      <c r="F38" s="82"/>
      <c r="G38" s="82"/>
      <c r="H38" s="82"/>
      <c r="I38" s="82"/>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82"/>
      <c r="H39" s="82"/>
      <c r="I39" s="82"/>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82"/>
      <c r="H40" s="82"/>
      <c r="I40" s="82"/>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82"/>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82"/>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82"/>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82"/>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mergeCells count="6">
    <mergeCell ref="B7:B9"/>
    <mergeCell ref="C7:C9"/>
    <mergeCell ref="D7:D9"/>
    <mergeCell ref="B10:B12"/>
    <mergeCell ref="C10:C12"/>
    <mergeCell ref="D10:D12"/>
  </mergeCells>
  <pageMargins left="0.75" right="0.75" top="1" bottom="1" header="0.5" footer="0.5"/>
  <pageSetup scale="74" firstPageNumber="0" orientation="portrait"/>
  <headerFooter alignWithMargins="0">
    <oddHeader>&amp;CSpring 2018 Exam 5 Make-Up</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Z200"/>
  <sheetViews>
    <sheetView workbookViewId="0"/>
  </sheetViews>
  <sheetFormatPr defaultColWidth="0" defaultRowHeight="0" customHeight="1" zeroHeight="1" x14ac:dyDescent="0.25"/>
  <cols>
    <col min="1" max="3" width="14.625" style="37" customWidth="1"/>
    <col min="4" max="49" width="10.625" style="37" customWidth="1"/>
    <col min="50" max="16384" width="10.625" style="37" hidden="1"/>
  </cols>
  <sheetData>
    <row r="1" spans="1:52" ht="15.75" customHeight="1" thickBot="1" x14ac:dyDescent="0.3">
      <c r="A1" s="1">
        <v>19</v>
      </c>
      <c r="B1" s="2"/>
      <c r="C1" s="33"/>
      <c r="D1" s="33"/>
      <c r="E1" s="33"/>
      <c r="F1" s="34"/>
      <c r="G1" s="82"/>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40"/>
      <c r="G2" s="82"/>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2.25</v>
      </c>
      <c r="B3" s="39"/>
      <c r="C3" s="39"/>
      <c r="D3" s="39"/>
      <c r="E3" s="39"/>
      <c r="F3" s="40"/>
      <c r="G3" s="82"/>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414</v>
      </c>
      <c r="C4" s="39"/>
      <c r="D4" s="39"/>
      <c r="E4" s="39"/>
      <c r="F4" s="47"/>
      <c r="G4" s="89"/>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88"/>
      <c r="C5" s="39"/>
      <c r="D5" s="39"/>
      <c r="E5" s="39"/>
      <c r="F5" s="47"/>
      <c r="G5" s="89"/>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x14ac:dyDescent="0.25">
      <c r="A6" s="42"/>
      <c r="B6" s="673" t="s">
        <v>613</v>
      </c>
      <c r="C6" s="674" t="s">
        <v>135</v>
      </c>
      <c r="D6" s="675" t="s">
        <v>614</v>
      </c>
      <c r="E6" s="411"/>
      <c r="F6" s="47"/>
      <c r="G6" s="67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thickBot="1" x14ac:dyDescent="0.3">
      <c r="A7" s="42"/>
      <c r="B7" s="219" t="s">
        <v>83</v>
      </c>
      <c r="C7" s="677" t="s">
        <v>83</v>
      </c>
      <c r="D7" s="414" t="s">
        <v>615</v>
      </c>
      <c r="E7" s="411"/>
      <c r="F7" s="47"/>
      <c r="G7" s="67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thickBot="1" x14ac:dyDescent="0.3">
      <c r="A8" s="42"/>
      <c r="B8" s="205">
        <v>2014</v>
      </c>
      <c r="C8" s="678">
        <v>2014</v>
      </c>
      <c r="D8" s="679">
        <v>950</v>
      </c>
      <c r="E8" s="680"/>
      <c r="F8" s="47"/>
      <c r="G8" s="67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42"/>
      <c r="B9" s="681">
        <v>2015</v>
      </c>
      <c r="C9" s="682">
        <v>2014</v>
      </c>
      <c r="D9" s="683">
        <v>2150</v>
      </c>
      <c r="E9" s="680"/>
      <c r="F9" s="47"/>
      <c r="G9" s="67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thickBot="1" x14ac:dyDescent="0.3">
      <c r="A10" s="42"/>
      <c r="B10" s="219">
        <v>2015</v>
      </c>
      <c r="C10" s="677">
        <v>2015</v>
      </c>
      <c r="D10" s="684">
        <v>1100</v>
      </c>
      <c r="E10" s="680"/>
      <c r="F10" s="47"/>
      <c r="G10" s="67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215">
        <v>2016</v>
      </c>
      <c r="C11" s="674">
        <v>2014</v>
      </c>
      <c r="D11" s="685">
        <v>700</v>
      </c>
      <c r="E11" s="680"/>
      <c r="F11" s="47"/>
      <c r="G11" s="67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x14ac:dyDescent="0.25">
      <c r="A12" s="42"/>
      <c r="B12" s="681">
        <v>2016</v>
      </c>
      <c r="C12" s="682">
        <v>2015</v>
      </c>
      <c r="D12" s="683">
        <v>2400</v>
      </c>
      <c r="E12" s="680"/>
      <c r="F12" s="47"/>
      <c r="G12" s="67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thickBot="1" x14ac:dyDescent="0.3">
      <c r="A13" s="42"/>
      <c r="B13" s="219">
        <v>2016</v>
      </c>
      <c r="C13" s="677">
        <v>2016</v>
      </c>
      <c r="D13" s="684">
        <v>900</v>
      </c>
      <c r="E13" s="680"/>
      <c r="F13" s="47"/>
      <c r="G13" s="67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c r="B14" s="215">
        <v>2017</v>
      </c>
      <c r="C14" s="674">
        <v>2014</v>
      </c>
      <c r="D14" s="685">
        <v>700</v>
      </c>
      <c r="E14" s="680"/>
      <c r="F14" s="47"/>
      <c r="G14" s="67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681">
        <v>2017</v>
      </c>
      <c r="C15" s="682">
        <v>2015</v>
      </c>
      <c r="D15" s="683">
        <v>1200</v>
      </c>
      <c r="E15" s="680"/>
      <c r="F15" s="47"/>
      <c r="G15" s="67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681">
        <v>2017</v>
      </c>
      <c r="C16" s="682">
        <v>2016</v>
      </c>
      <c r="D16" s="683">
        <v>1900</v>
      </c>
      <c r="E16" s="680"/>
      <c r="F16" s="47"/>
      <c r="G16" s="67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thickBot="1" x14ac:dyDescent="0.3">
      <c r="A17" s="42"/>
      <c r="B17" s="219">
        <v>2017</v>
      </c>
      <c r="C17" s="677">
        <v>2017</v>
      </c>
      <c r="D17" s="684">
        <v>700</v>
      </c>
      <c r="E17" s="680"/>
      <c r="F17" s="47"/>
      <c r="G17" s="67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thickBot="1" x14ac:dyDescent="0.3">
      <c r="A18" s="42"/>
      <c r="B18" s="39"/>
      <c r="C18" s="39"/>
      <c r="D18" s="39"/>
      <c r="E18" s="682"/>
      <c r="F18" s="47"/>
      <c r="G18" s="67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thickBot="1" x14ac:dyDescent="0.3">
      <c r="A19" s="42"/>
      <c r="B19" s="686">
        <v>1.03</v>
      </c>
      <c r="C19" s="687" t="s">
        <v>616</v>
      </c>
      <c r="D19" s="542"/>
      <c r="E19" s="432"/>
      <c r="F19" s="40"/>
      <c r="G19" s="122"/>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c r="B20" s="88"/>
      <c r="C20" s="39"/>
      <c r="D20" s="39"/>
      <c r="E20" s="39"/>
      <c r="F20" s="40"/>
      <c r="G20" s="67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v>1.5</v>
      </c>
      <c r="B21" s="39" t="s">
        <v>46</v>
      </c>
      <c r="C21" s="39"/>
      <c r="D21" s="39"/>
      <c r="E21" s="39"/>
      <c r="F21" s="40"/>
      <c r="G21" s="82"/>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c r="B22" s="133" t="s">
        <v>617</v>
      </c>
      <c r="C22" s="39"/>
      <c r="D22" s="39"/>
      <c r="E22" s="39"/>
      <c r="F22" s="40"/>
      <c r="G22" s="82"/>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c r="B23" s="133" t="s">
        <v>618</v>
      </c>
      <c r="C23" s="39"/>
      <c r="D23" s="39"/>
      <c r="E23" s="39"/>
      <c r="F23" s="40"/>
      <c r="G23" s="82"/>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c r="B24" s="133"/>
      <c r="C24" s="39"/>
      <c r="D24" s="39"/>
      <c r="E24" s="39"/>
      <c r="F24" s="40"/>
      <c r="G24" s="688"/>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2">
        <v>0.5</v>
      </c>
      <c r="B25" s="39" t="s">
        <v>21</v>
      </c>
      <c r="C25" s="39"/>
      <c r="D25" s="39"/>
      <c r="E25" s="39"/>
      <c r="F25" s="40"/>
      <c r="G25" s="82"/>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42"/>
      <c r="B26" s="39" t="s">
        <v>619</v>
      </c>
      <c r="C26" s="39"/>
      <c r="D26" s="39"/>
      <c r="E26" s="39"/>
      <c r="F26" s="40"/>
      <c r="G26" s="82"/>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42"/>
      <c r="B27" s="39" t="s">
        <v>620</v>
      </c>
      <c r="C27" s="39"/>
      <c r="D27" s="39"/>
      <c r="E27" s="39"/>
      <c r="F27" s="40"/>
      <c r="G27" s="82"/>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42"/>
      <c r="B28" s="39" t="s">
        <v>621</v>
      </c>
      <c r="C28" s="39"/>
      <c r="D28" s="39"/>
      <c r="E28" s="39"/>
      <c r="F28" s="40"/>
      <c r="G28" s="82"/>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42"/>
      <c r="B29" s="133"/>
      <c r="C29" s="39"/>
      <c r="D29" s="39"/>
      <c r="E29" s="39"/>
      <c r="F29" s="40"/>
      <c r="G29" s="8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42">
        <v>0.25</v>
      </c>
      <c r="B30" s="39" t="s">
        <v>52</v>
      </c>
      <c r="C30" s="39"/>
      <c r="D30" s="39"/>
      <c r="E30" s="39"/>
      <c r="F30" s="40"/>
      <c r="G30" s="82"/>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42"/>
      <c r="B31" s="39" t="s">
        <v>622</v>
      </c>
      <c r="C31" s="39"/>
      <c r="D31" s="39"/>
      <c r="E31" s="39"/>
      <c r="F31" s="40"/>
      <c r="G31" s="82"/>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42"/>
      <c r="B32" s="39" t="s">
        <v>623</v>
      </c>
      <c r="C32" s="39"/>
      <c r="D32" s="39"/>
      <c r="E32" s="39"/>
      <c r="F32" s="40"/>
      <c r="G32" s="82"/>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42"/>
      <c r="B33" s="39" t="s">
        <v>624</v>
      </c>
      <c r="C33" s="39"/>
      <c r="D33" s="39"/>
      <c r="E33" s="39"/>
      <c r="F33" s="40"/>
      <c r="G33" s="82"/>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thickBot="1" x14ac:dyDescent="0.3">
      <c r="A34" s="75"/>
      <c r="B34" s="76"/>
      <c r="C34" s="257"/>
      <c r="D34" s="258"/>
      <c r="E34" s="258"/>
      <c r="F34" s="259"/>
      <c r="G34" s="82"/>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82"/>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t="s">
        <v>19</v>
      </c>
      <c r="B36" s="82" t="s">
        <v>526</v>
      </c>
      <c r="C36" s="82" t="s">
        <v>625</v>
      </c>
      <c r="D36" s="82"/>
      <c r="E36" s="82"/>
      <c r="F36" s="82"/>
      <c r="G36" s="82"/>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t="s">
        <v>61</v>
      </c>
      <c r="C37" s="82">
        <v>12</v>
      </c>
      <c r="D37" s="82">
        <v>24</v>
      </c>
      <c r="E37" s="82">
        <v>36</v>
      </c>
      <c r="F37" s="82">
        <v>48</v>
      </c>
      <c r="G37" s="82"/>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v>2014</v>
      </c>
      <c r="C38" s="572">
        <f>D8</f>
        <v>950</v>
      </c>
      <c r="D38" s="572">
        <f>C38+D9</f>
        <v>3100</v>
      </c>
      <c r="E38" s="572">
        <f>D38+D11</f>
        <v>3800</v>
      </c>
      <c r="F38" s="572">
        <f>E38+D14</f>
        <v>4500</v>
      </c>
      <c r="G38" s="82"/>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v>2015</v>
      </c>
      <c r="C39" s="572">
        <f>D10</f>
        <v>1100</v>
      </c>
      <c r="D39" s="572">
        <f>C39+D12</f>
        <v>3500</v>
      </c>
      <c r="E39" s="572">
        <f>D39+D15</f>
        <v>4700</v>
      </c>
      <c r="F39" s="82"/>
      <c r="G39" s="82"/>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v>2016</v>
      </c>
      <c r="C40" s="572">
        <f>D13</f>
        <v>900</v>
      </c>
      <c r="D40" s="572">
        <f>C40+D16</f>
        <v>2800</v>
      </c>
      <c r="E40" s="82"/>
      <c r="F40" s="82"/>
      <c r="G40" s="82"/>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v>2017</v>
      </c>
      <c r="C41" s="572">
        <f>D17</f>
        <v>700</v>
      </c>
      <c r="D41" s="82"/>
      <c r="E41" s="82"/>
      <c r="F41" s="82"/>
      <c r="G41" s="82"/>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t="s">
        <v>626</v>
      </c>
      <c r="C43" s="82"/>
      <c r="D43" s="82"/>
      <c r="E43" s="82"/>
      <c r="F43" s="82"/>
      <c r="G43" s="82"/>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t="s">
        <v>61</v>
      </c>
      <c r="C44" s="548" t="s">
        <v>183</v>
      </c>
      <c r="D44" s="82" t="s">
        <v>184</v>
      </c>
      <c r="E44" s="82" t="s">
        <v>587</v>
      </c>
      <c r="F44" s="82" t="s">
        <v>560</v>
      </c>
      <c r="G44" s="82"/>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v>2014</v>
      </c>
      <c r="C45" s="82">
        <f>D38/C38</f>
        <v>3.263157894736842</v>
      </c>
      <c r="D45" s="82">
        <f>E38/D38</f>
        <v>1.2258064516129032</v>
      </c>
      <c r="E45" s="82">
        <f>F38/E38</f>
        <v>1.1842105263157894</v>
      </c>
      <c r="F45" s="82"/>
      <c r="G45" s="82"/>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v>2015</v>
      </c>
      <c r="C46" s="82">
        <f>D39/C39</f>
        <v>3.1818181818181817</v>
      </c>
      <c r="D46" s="82">
        <f>E39/D39</f>
        <v>1.3428571428571427</v>
      </c>
      <c r="E46" s="82"/>
      <c r="F46" s="82"/>
      <c r="G46" s="82"/>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v>2016</v>
      </c>
      <c r="C47" s="82">
        <f>D40/C40</f>
        <v>3.1111111111111112</v>
      </c>
      <c r="D47" s="82"/>
      <c r="E47" s="82"/>
      <c r="F47" s="82"/>
      <c r="G47" s="82"/>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t="s">
        <v>627</v>
      </c>
      <c r="C48" s="82">
        <f>AVERAGE(C45:C47)</f>
        <v>3.1853623958887116</v>
      </c>
      <c r="D48" s="82">
        <f>AVERAGE(D45:D47)</f>
        <v>1.284331797235023</v>
      </c>
      <c r="E48" s="82">
        <f>AVERAGE(E45:E47)</f>
        <v>1.1842105263157894</v>
      </c>
      <c r="F48" s="82">
        <f>B19</f>
        <v>1.03</v>
      </c>
      <c r="G48" s="82" t="s">
        <v>628</v>
      </c>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t="s">
        <v>162</v>
      </c>
      <c r="C49" s="82">
        <f>C48*D49</f>
        <v>4.9900193018044412</v>
      </c>
      <c r="D49" s="82">
        <f>D48*E49</f>
        <v>1.5665468105748239</v>
      </c>
      <c r="E49" s="82">
        <f>E48*F49</f>
        <v>1.219736842105263</v>
      </c>
      <c r="F49" s="82">
        <f>F48</f>
        <v>1.03</v>
      </c>
      <c r="G49" s="82"/>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t="s">
        <v>629</v>
      </c>
      <c r="C51" s="572">
        <f>C49*C41</f>
        <v>3493.0135112631087</v>
      </c>
      <c r="D51" s="82"/>
      <c r="E51" s="82"/>
      <c r="F51" s="82"/>
      <c r="G51" s="82"/>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t="s">
        <v>21</v>
      </c>
      <c r="B53" s="82" t="s">
        <v>630</v>
      </c>
      <c r="C53" s="82"/>
      <c r="D53" s="82"/>
      <c r="E53" s="82"/>
      <c r="F53" s="82"/>
      <c r="G53" s="82"/>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t="s">
        <v>631</v>
      </c>
      <c r="C54" s="82"/>
      <c r="D54" s="82"/>
      <c r="E54" s="82"/>
      <c r="F54" s="82"/>
      <c r="G54" s="82"/>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t="s">
        <v>52</v>
      </c>
      <c r="B56" s="82" t="s">
        <v>632</v>
      </c>
      <c r="C56" s="82"/>
      <c r="D56" s="82"/>
      <c r="E56" s="82"/>
      <c r="F56" s="82"/>
      <c r="G56" s="82"/>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82"/>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firstPageNumber="0" orientation="portrait"/>
  <headerFooter alignWithMargins="0">
    <oddHeader>&amp;CSpring 2018 Exam 5 Make-Up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Z200"/>
  <sheetViews>
    <sheetView zoomScale="80" zoomScaleNormal="80" zoomScalePageLayoutView="80" workbookViewId="0"/>
  </sheetViews>
  <sheetFormatPr defaultColWidth="0" defaultRowHeight="0" customHeight="1" zeroHeight="1" x14ac:dyDescent="0.25"/>
  <cols>
    <col min="1" max="1" width="9.875" style="37" customWidth="1"/>
    <col min="2" max="4" width="9.375" style="37" customWidth="1"/>
    <col min="5" max="5" width="5.375" style="37" customWidth="1"/>
    <col min="6" max="49" width="9.375" style="37" customWidth="1"/>
    <col min="50" max="16384" width="9.375" style="37" hidden="1"/>
  </cols>
  <sheetData>
    <row r="1" spans="1:52" ht="15.75" thickBot="1" x14ac:dyDescent="0.3">
      <c r="A1" s="1">
        <v>20</v>
      </c>
      <c r="B1" s="2"/>
      <c r="C1" s="33"/>
      <c r="D1" s="33"/>
      <c r="E1" s="33"/>
      <c r="F1" s="33"/>
      <c r="G1" s="33"/>
      <c r="H1" s="33"/>
      <c r="I1" s="33"/>
      <c r="J1" s="33"/>
      <c r="K1" s="33"/>
      <c r="L1" s="33"/>
      <c r="M1" s="33"/>
      <c r="N1" s="33"/>
      <c r="O1" s="34"/>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39"/>
      <c r="I2" s="39"/>
      <c r="J2" s="39"/>
      <c r="K2" s="39"/>
      <c r="L2" s="39"/>
      <c r="M2" s="39"/>
      <c r="N2" s="39"/>
      <c r="O2" s="40"/>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2</v>
      </c>
      <c r="B3" s="39"/>
      <c r="C3" s="39"/>
      <c r="D3" s="39"/>
      <c r="E3" s="39"/>
      <c r="F3" s="39"/>
      <c r="G3" s="39"/>
      <c r="H3" s="39"/>
      <c r="I3" s="39"/>
      <c r="J3" s="39"/>
      <c r="K3" s="39"/>
      <c r="L3" s="39"/>
      <c r="M3" s="39"/>
      <c r="N3" s="39"/>
      <c r="O3" s="40"/>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633</v>
      </c>
      <c r="C4" s="39"/>
      <c r="D4" s="39"/>
      <c r="E4" s="39"/>
      <c r="F4" s="39"/>
      <c r="G4" s="46"/>
      <c r="H4" s="46"/>
      <c r="I4" s="46"/>
      <c r="J4" s="46"/>
      <c r="K4" s="46"/>
      <c r="L4" s="46"/>
      <c r="M4" s="46"/>
      <c r="N4" s="46"/>
      <c r="O4" s="47"/>
      <c r="P4" s="36"/>
      <c r="Q4" s="36" t="s">
        <v>19</v>
      </c>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689"/>
      <c r="C5" s="689"/>
      <c r="D5" s="689"/>
      <c r="E5" s="689"/>
      <c r="F5" s="689"/>
      <c r="G5" s="689"/>
      <c r="H5" s="46"/>
      <c r="I5" s="689"/>
      <c r="J5" s="689"/>
      <c r="K5" s="689"/>
      <c r="L5" s="689"/>
      <c r="M5" s="689"/>
      <c r="N5" s="689"/>
      <c r="O5" s="47"/>
      <c r="P5" s="36"/>
      <c r="Q5" s="36" t="s">
        <v>634</v>
      </c>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29.25" customHeight="1" x14ac:dyDescent="0.25">
      <c r="A6" s="42"/>
      <c r="B6" s="690" t="s">
        <v>135</v>
      </c>
      <c r="C6" s="691" t="s">
        <v>635</v>
      </c>
      <c r="D6" s="691"/>
      <c r="E6" s="691"/>
      <c r="F6" s="691"/>
      <c r="G6" s="692"/>
      <c r="H6" s="46"/>
      <c r="I6" s="690" t="s">
        <v>135</v>
      </c>
      <c r="J6" s="691" t="s">
        <v>636</v>
      </c>
      <c r="K6" s="691"/>
      <c r="L6" s="691"/>
      <c r="M6" s="691"/>
      <c r="N6" s="692"/>
      <c r="O6" s="47"/>
      <c r="P6" s="36"/>
      <c r="Q6" s="36" t="s">
        <v>61</v>
      </c>
      <c r="R6" s="36">
        <v>12</v>
      </c>
      <c r="S6" s="36">
        <v>24</v>
      </c>
      <c r="T6" s="36">
        <v>36</v>
      </c>
      <c r="U6" s="36">
        <v>48</v>
      </c>
      <c r="V6" s="36">
        <v>60</v>
      </c>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thickBot="1" x14ac:dyDescent="0.3">
      <c r="A7" s="42"/>
      <c r="B7" s="693" t="s">
        <v>83</v>
      </c>
      <c r="C7" s="694">
        <v>12</v>
      </c>
      <c r="D7" s="694">
        <v>24</v>
      </c>
      <c r="E7" s="694">
        <v>36</v>
      </c>
      <c r="F7" s="694">
        <v>48</v>
      </c>
      <c r="G7" s="695">
        <v>60</v>
      </c>
      <c r="H7" s="46"/>
      <c r="I7" s="693" t="s">
        <v>83</v>
      </c>
      <c r="J7" s="694">
        <v>12</v>
      </c>
      <c r="K7" s="694">
        <v>24</v>
      </c>
      <c r="L7" s="694">
        <v>36</v>
      </c>
      <c r="M7" s="694">
        <v>48</v>
      </c>
      <c r="N7" s="695">
        <v>60</v>
      </c>
      <c r="O7" s="47"/>
      <c r="P7" s="36"/>
      <c r="Q7" s="36">
        <v>13</v>
      </c>
      <c r="R7" s="696">
        <f>C16/J16</f>
        <v>0.6</v>
      </c>
      <c r="S7" s="696">
        <f t="shared" ref="S7:T10" si="0">D16/K16</f>
        <v>0.9</v>
      </c>
      <c r="T7" s="696">
        <f t="shared" si="0"/>
        <v>0.95</v>
      </c>
      <c r="U7" s="696">
        <f>F16/M16</f>
        <v>0.98</v>
      </c>
      <c r="V7" s="696">
        <f>G16/N16</f>
        <v>0.99659863945578231</v>
      </c>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697">
        <v>2013</v>
      </c>
      <c r="C8" s="698">
        <v>100</v>
      </c>
      <c r="D8" s="699">
        <v>550</v>
      </c>
      <c r="E8" s="699">
        <v>650</v>
      </c>
      <c r="F8" s="699">
        <v>670</v>
      </c>
      <c r="G8" s="700">
        <v>690</v>
      </c>
      <c r="H8" s="46"/>
      <c r="I8" s="697">
        <v>2013</v>
      </c>
      <c r="J8" s="698">
        <v>400</v>
      </c>
      <c r="K8" s="699">
        <v>600</v>
      </c>
      <c r="L8" s="699">
        <v>675</v>
      </c>
      <c r="M8" s="699">
        <v>675</v>
      </c>
      <c r="N8" s="700">
        <v>700</v>
      </c>
      <c r="O8" s="47"/>
      <c r="P8" s="36"/>
      <c r="Q8" s="36">
        <v>14</v>
      </c>
      <c r="R8" s="696">
        <f t="shared" ref="R8:R11" si="1">C17/J17</f>
        <v>0.60015898251192368</v>
      </c>
      <c r="S8" s="696">
        <f t="shared" si="0"/>
        <v>0.9</v>
      </c>
      <c r="T8" s="696">
        <f t="shared" si="0"/>
        <v>0.95</v>
      </c>
      <c r="U8" s="696">
        <f>F17/M17</f>
        <v>0.99375000000000002</v>
      </c>
      <c r="V8" s="69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 x14ac:dyDescent="0.25">
      <c r="A9" s="42"/>
      <c r="B9" s="701">
        <v>2014</v>
      </c>
      <c r="C9" s="702">
        <v>180</v>
      </c>
      <c r="D9" s="703">
        <v>800</v>
      </c>
      <c r="E9" s="703">
        <v>850</v>
      </c>
      <c r="F9" s="703">
        <v>860</v>
      </c>
      <c r="G9" s="704"/>
      <c r="H9" s="46"/>
      <c r="I9" s="701">
        <v>2014</v>
      </c>
      <c r="J9" s="702">
        <v>500</v>
      </c>
      <c r="K9" s="703">
        <v>850</v>
      </c>
      <c r="L9" s="703">
        <v>871.2</v>
      </c>
      <c r="M9" s="703">
        <v>872.94240000000002</v>
      </c>
      <c r="N9" s="704"/>
      <c r="O9" s="47"/>
      <c r="P9" s="36"/>
      <c r="Q9" s="36">
        <v>15</v>
      </c>
      <c r="R9" s="696">
        <f t="shared" si="1"/>
        <v>0.6</v>
      </c>
      <c r="S9" s="696">
        <f t="shared" si="0"/>
        <v>0.9</v>
      </c>
      <c r="T9" s="696">
        <f t="shared" si="0"/>
        <v>0.98518518518518516</v>
      </c>
      <c r="U9" s="696"/>
      <c r="V9" s="69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701">
        <v>2015</v>
      </c>
      <c r="C10" s="702">
        <v>270</v>
      </c>
      <c r="D10" s="703">
        <v>980</v>
      </c>
      <c r="E10" s="703">
        <v>1050</v>
      </c>
      <c r="F10" s="703"/>
      <c r="G10" s="704"/>
      <c r="H10" s="46"/>
      <c r="I10" s="701">
        <v>2015</v>
      </c>
      <c r="J10" s="702">
        <v>570</v>
      </c>
      <c r="K10" s="703">
        <v>1026</v>
      </c>
      <c r="L10" s="703">
        <v>1100</v>
      </c>
      <c r="M10" s="703"/>
      <c r="N10" s="704"/>
      <c r="O10" s="47"/>
      <c r="P10" s="36"/>
      <c r="Q10" s="36">
        <v>16</v>
      </c>
      <c r="R10" s="696">
        <f t="shared" si="1"/>
        <v>0.6</v>
      </c>
      <c r="S10" s="696">
        <f t="shared" si="0"/>
        <v>0.94186046511627908</v>
      </c>
      <c r="T10" s="696"/>
      <c r="U10" s="696"/>
      <c r="V10" s="69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701">
        <v>2016</v>
      </c>
      <c r="C11" s="702">
        <v>300</v>
      </c>
      <c r="D11" s="703">
        <v>800</v>
      </c>
      <c r="E11" s="703"/>
      <c r="F11" s="703"/>
      <c r="G11" s="704"/>
      <c r="H11" s="46"/>
      <c r="I11" s="701">
        <v>2016</v>
      </c>
      <c r="J11" s="702">
        <v>650</v>
      </c>
      <c r="K11" s="703">
        <v>900</v>
      </c>
      <c r="L11" s="703"/>
      <c r="M11" s="703"/>
      <c r="N11" s="704"/>
      <c r="O11" s="47"/>
      <c r="P11" s="36"/>
      <c r="Q11" s="36">
        <v>17</v>
      </c>
      <c r="R11" s="696">
        <f t="shared" si="1"/>
        <v>0.69230769230769229</v>
      </c>
      <c r="S11" s="696"/>
      <c r="T11" s="696"/>
      <c r="U11" s="696"/>
      <c r="V11" s="69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705">
        <v>2017</v>
      </c>
      <c r="C12" s="706">
        <v>300</v>
      </c>
      <c r="D12" s="707"/>
      <c r="E12" s="707"/>
      <c r="F12" s="707"/>
      <c r="G12" s="708"/>
      <c r="H12" s="46"/>
      <c r="I12" s="705">
        <v>2017</v>
      </c>
      <c r="J12" s="706">
        <v>800</v>
      </c>
      <c r="K12" s="707"/>
      <c r="L12" s="707"/>
      <c r="M12" s="707"/>
      <c r="N12" s="708"/>
      <c r="O12" s="47"/>
      <c r="P12" s="36"/>
      <c r="Q12" s="452"/>
      <c r="R12" s="696"/>
      <c r="S12" s="696"/>
      <c r="T12" s="696"/>
      <c r="U12" s="696"/>
      <c r="V12" s="69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thickBot="1" x14ac:dyDescent="0.3">
      <c r="A13" s="42"/>
      <c r="B13" s="689"/>
      <c r="C13" s="689"/>
      <c r="D13" s="689"/>
      <c r="E13" s="689"/>
      <c r="F13" s="689"/>
      <c r="G13" s="689"/>
      <c r="H13" s="46"/>
      <c r="I13" s="689"/>
      <c r="J13" s="689"/>
      <c r="K13" s="689"/>
      <c r="L13" s="689"/>
      <c r="M13" s="689"/>
      <c r="N13" s="689"/>
      <c r="O13" s="47"/>
      <c r="P13" s="36"/>
      <c r="Q13" s="36" t="s">
        <v>637</v>
      </c>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c r="B14" s="690" t="s">
        <v>135</v>
      </c>
      <c r="C14" s="691" t="s">
        <v>569</v>
      </c>
      <c r="D14" s="691"/>
      <c r="E14" s="691"/>
      <c r="F14" s="691"/>
      <c r="G14" s="692"/>
      <c r="H14" s="46"/>
      <c r="I14" s="690" t="s">
        <v>135</v>
      </c>
      <c r="J14" s="691" t="s">
        <v>638</v>
      </c>
      <c r="K14" s="691"/>
      <c r="L14" s="691"/>
      <c r="M14" s="691"/>
      <c r="N14" s="692"/>
      <c r="O14" s="47"/>
      <c r="P14" s="36"/>
      <c r="Q14" s="36" t="s">
        <v>61</v>
      </c>
      <c r="R14" s="36">
        <v>12</v>
      </c>
      <c r="S14" s="36">
        <v>24</v>
      </c>
      <c r="T14" s="36">
        <v>36</v>
      </c>
      <c r="U14" s="36">
        <v>48</v>
      </c>
      <c r="V14" s="36">
        <v>60</v>
      </c>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thickBot="1" x14ac:dyDescent="0.3">
      <c r="A15" s="42"/>
      <c r="B15" s="693" t="s">
        <v>83</v>
      </c>
      <c r="C15" s="694">
        <v>12</v>
      </c>
      <c r="D15" s="694">
        <v>24</v>
      </c>
      <c r="E15" s="694">
        <v>36</v>
      </c>
      <c r="F15" s="694">
        <v>48</v>
      </c>
      <c r="G15" s="695">
        <v>60</v>
      </c>
      <c r="H15" s="46"/>
      <c r="I15" s="693" t="s">
        <v>83</v>
      </c>
      <c r="J15" s="694">
        <v>12</v>
      </c>
      <c r="K15" s="694">
        <v>24</v>
      </c>
      <c r="L15" s="694">
        <v>36</v>
      </c>
      <c r="M15" s="694">
        <v>48</v>
      </c>
      <c r="N15" s="695">
        <v>60</v>
      </c>
      <c r="O15" s="47"/>
      <c r="P15" s="36"/>
      <c r="Q15" s="36">
        <v>13</v>
      </c>
      <c r="R15" s="696">
        <f>C8/J8</f>
        <v>0.25</v>
      </c>
      <c r="S15" s="696">
        <f>D8/K8</f>
        <v>0.91666666666666663</v>
      </c>
      <c r="T15" s="696">
        <f>E8/L8</f>
        <v>0.96296296296296291</v>
      </c>
      <c r="U15" s="696">
        <f>F8/M8</f>
        <v>0.99259259259259258</v>
      </c>
      <c r="V15" s="696">
        <f>G8/N8</f>
        <v>0.98571428571428577</v>
      </c>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697">
        <v>2013</v>
      </c>
      <c r="C16" s="698">
        <v>720</v>
      </c>
      <c r="D16" s="699">
        <v>1215</v>
      </c>
      <c r="E16" s="699">
        <v>1330</v>
      </c>
      <c r="F16" s="699">
        <v>1421</v>
      </c>
      <c r="G16" s="700">
        <v>1465</v>
      </c>
      <c r="H16" s="46"/>
      <c r="I16" s="697">
        <v>2013</v>
      </c>
      <c r="J16" s="698">
        <v>1200</v>
      </c>
      <c r="K16" s="699">
        <v>1350</v>
      </c>
      <c r="L16" s="699">
        <v>1400</v>
      </c>
      <c r="M16" s="699">
        <v>1450</v>
      </c>
      <c r="N16" s="700">
        <v>1470</v>
      </c>
      <c r="O16" s="47"/>
      <c r="P16" s="36"/>
      <c r="Q16" s="36">
        <v>14</v>
      </c>
      <c r="R16" s="696">
        <f>C9/J9</f>
        <v>0.36</v>
      </c>
      <c r="S16" s="696">
        <f>D9/K9</f>
        <v>0.94117647058823528</v>
      </c>
      <c r="T16" s="696">
        <f>E9/L9</f>
        <v>0.97566574839302111</v>
      </c>
      <c r="U16" s="696">
        <f>F9/M9</f>
        <v>0.98517382131971132</v>
      </c>
      <c r="V16" s="69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701">
        <v>2014</v>
      </c>
      <c r="C17" s="702">
        <v>755</v>
      </c>
      <c r="D17" s="703">
        <v>1242</v>
      </c>
      <c r="E17" s="703">
        <v>1349</v>
      </c>
      <c r="F17" s="703">
        <v>1431</v>
      </c>
      <c r="G17" s="704"/>
      <c r="H17" s="46"/>
      <c r="I17" s="701">
        <v>2014</v>
      </c>
      <c r="J17" s="702">
        <v>1258</v>
      </c>
      <c r="K17" s="703">
        <v>1380</v>
      </c>
      <c r="L17" s="703">
        <v>1420</v>
      </c>
      <c r="M17" s="703">
        <v>1440</v>
      </c>
      <c r="N17" s="704"/>
      <c r="O17" s="47"/>
      <c r="P17" s="36"/>
      <c r="Q17" s="36">
        <v>15</v>
      </c>
      <c r="R17" s="696">
        <f>C10/J10</f>
        <v>0.47368421052631576</v>
      </c>
      <c r="S17" s="696">
        <f>D10/K10</f>
        <v>0.95516569200779722</v>
      </c>
      <c r="T17" s="696">
        <f>E10/L10</f>
        <v>0.95454545454545459</v>
      </c>
      <c r="U17" s="696"/>
      <c r="V17" s="69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701">
        <v>2015</v>
      </c>
      <c r="C18" s="702">
        <v>750</v>
      </c>
      <c r="D18" s="703">
        <v>1233</v>
      </c>
      <c r="E18" s="703">
        <v>1330</v>
      </c>
      <c r="F18" s="703"/>
      <c r="G18" s="704"/>
      <c r="H18" s="46"/>
      <c r="I18" s="701">
        <v>2015</v>
      </c>
      <c r="J18" s="702">
        <v>1250</v>
      </c>
      <c r="K18" s="703">
        <v>1370</v>
      </c>
      <c r="L18" s="703">
        <v>1350</v>
      </c>
      <c r="M18" s="703"/>
      <c r="N18" s="704"/>
      <c r="O18" s="47"/>
      <c r="P18" s="36"/>
      <c r="Q18" s="36">
        <v>16</v>
      </c>
      <c r="R18" s="696">
        <f>C11/J11</f>
        <v>0.46153846153846156</v>
      </c>
      <c r="S18" s="696">
        <f>D11/K11</f>
        <v>0.88888888888888884</v>
      </c>
      <c r="T18" s="696"/>
      <c r="U18" s="696"/>
      <c r="V18" s="69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2"/>
      <c r="B19" s="701">
        <v>2016</v>
      </c>
      <c r="C19" s="702">
        <v>780</v>
      </c>
      <c r="D19" s="703">
        <v>1215</v>
      </c>
      <c r="E19" s="703"/>
      <c r="F19" s="703"/>
      <c r="G19" s="704"/>
      <c r="H19" s="46"/>
      <c r="I19" s="701">
        <v>2016</v>
      </c>
      <c r="J19" s="702">
        <v>1300</v>
      </c>
      <c r="K19" s="703">
        <v>1290</v>
      </c>
      <c r="L19" s="703"/>
      <c r="M19" s="703"/>
      <c r="N19" s="704"/>
      <c r="O19" s="47"/>
      <c r="P19" s="36"/>
      <c r="Q19" s="36">
        <v>17</v>
      </c>
      <c r="R19" s="696">
        <f>C12/J12</f>
        <v>0.375</v>
      </c>
      <c r="S19" s="696"/>
      <c r="T19" s="696"/>
      <c r="U19" s="696"/>
      <c r="V19" s="69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thickBot="1" x14ac:dyDescent="0.3">
      <c r="A20" s="42"/>
      <c r="B20" s="705">
        <v>2017</v>
      </c>
      <c r="C20" s="706">
        <v>810</v>
      </c>
      <c r="D20" s="707"/>
      <c r="E20" s="707"/>
      <c r="F20" s="707"/>
      <c r="G20" s="708"/>
      <c r="H20" s="46"/>
      <c r="I20" s="705">
        <v>2017</v>
      </c>
      <c r="J20" s="706">
        <v>1170</v>
      </c>
      <c r="K20" s="707"/>
      <c r="L20" s="707"/>
      <c r="M20" s="707"/>
      <c r="N20" s="708"/>
      <c r="O20" s="47"/>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88"/>
      <c r="C21" s="703"/>
      <c r="D21" s="703"/>
      <c r="E21" s="703"/>
      <c r="F21" s="703"/>
      <c r="G21" s="703"/>
      <c r="H21" s="46"/>
      <c r="I21" s="709"/>
      <c r="J21" s="703"/>
      <c r="K21" s="703"/>
      <c r="L21" s="703"/>
      <c r="M21" s="703"/>
      <c r="N21" s="703"/>
      <c r="O21" s="47"/>
      <c r="P21" s="36"/>
      <c r="Q21" s="36" t="s">
        <v>639</v>
      </c>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v>1.5</v>
      </c>
      <c r="B22" s="710" t="s">
        <v>19</v>
      </c>
      <c r="C22" s="682"/>
      <c r="D22" s="39"/>
      <c r="E22" s="39"/>
      <c r="F22" s="39"/>
      <c r="G22" s="46"/>
      <c r="H22" s="46"/>
      <c r="I22" s="46"/>
      <c r="J22" s="46"/>
      <c r="K22" s="46"/>
      <c r="L22" s="46"/>
      <c r="M22" s="46"/>
      <c r="N22" s="46"/>
      <c r="O22" s="47"/>
      <c r="P22" s="36"/>
      <c r="Q22" s="36" t="s">
        <v>61</v>
      </c>
      <c r="R22" s="36">
        <v>12</v>
      </c>
      <c r="S22" s="36">
        <v>24</v>
      </c>
      <c r="T22" s="36">
        <v>36</v>
      </c>
      <c r="U22" s="36">
        <v>48</v>
      </c>
      <c r="V22" s="36">
        <v>60</v>
      </c>
      <c r="W22" s="36"/>
      <c r="X22" s="36"/>
      <c r="Y22" s="493"/>
      <c r="Z22" s="493"/>
      <c r="AA22" s="493"/>
      <c r="AB22" s="493"/>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c r="B23" s="133" t="s">
        <v>640</v>
      </c>
      <c r="C23" s="682"/>
      <c r="D23" s="39"/>
      <c r="E23" s="39"/>
      <c r="F23" s="39"/>
      <c r="G23" s="46"/>
      <c r="H23" s="46"/>
      <c r="I23" s="46"/>
      <c r="J23" s="46"/>
      <c r="K23" s="46"/>
      <c r="L23" s="46"/>
      <c r="M23" s="46"/>
      <c r="N23" s="46"/>
      <c r="O23" s="47"/>
      <c r="P23" s="36"/>
      <c r="Q23" s="36">
        <v>13</v>
      </c>
      <c r="R23" s="36">
        <f>(J8-C8)/(J16-C16)*1000</f>
        <v>625</v>
      </c>
      <c r="S23" s="36">
        <f>(K8-D8)/(K16-D16)*1000</f>
        <v>370.37037037037032</v>
      </c>
      <c r="T23" s="36">
        <f>(L8-E8)/(L16-E16)*1000</f>
        <v>357.14285714285717</v>
      </c>
      <c r="U23" s="36">
        <f>(M8-F8)/(M16-F16)*1000</f>
        <v>172.41379310344828</v>
      </c>
      <c r="V23" s="36">
        <f>(N8-G8)/(N16-G16)*1000</f>
        <v>2000</v>
      </c>
      <c r="W23" s="36"/>
      <c r="X23" s="36"/>
      <c r="Y23" s="493"/>
      <c r="Z23" s="493"/>
      <c r="AA23" s="493"/>
      <c r="AB23" s="493"/>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c r="B24" s="711" t="s">
        <v>641</v>
      </c>
      <c r="C24" s="39"/>
      <c r="D24" s="39"/>
      <c r="E24" s="39"/>
      <c r="F24" s="39"/>
      <c r="G24" s="46"/>
      <c r="H24" s="46"/>
      <c r="I24" s="46"/>
      <c r="J24" s="46"/>
      <c r="K24" s="46"/>
      <c r="L24" s="46"/>
      <c r="M24" s="46"/>
      <c r="N24" s="46"/>
      <c r="O24" s="40"/>
      <c r="P24" s="36"/>
      <c r="Q24" s="36">
        <v>14</v>
      </c>
      <c r="R24" s="36">
        <f>(J9-C9)/(J17-C17)*1000</f>
        <v>636.18290258449304</v>
      </c>
      <c r="S24" s="36">
        <f>(K9-D9)/(K17-D17)*1000</f>
        <v>362.31884057971013</v>
      </c>
      <c r="T24" s="36">
        <f>(L9-E9)/(L17-E17)*1000</f>
        <v>298.59154929577528</v>
      </c>
      <c r="U24" s="36">
        <f>(M9-F9)/(M17-F17)*1000</f>
        <v>1438.0444444444468</v>
      </c>
      <c r="V24" s="36"/>
      <c r="W24" s="36"/>
      <c r="X24" s="36"/>
      <c r="Y24" s="493"/>
      <c r="Z24" s="493"/>
      <c r="AA24" s="493"/>
      <c r="AB24" s="493"/>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2"/>
      <c r="B25" s="712" t="s">
        <v>642</v>
      </c>
      <c r="C25" s="39"/>
      <c r="D25" s="39"/>
      <c r="E25" s="39"/>
      <c r="F25" s="39"/>
      <c r="G25" s="46"/>
      <c r="H25" s="46"/>
      <c r="I25" s="46"/>
      <c r="J25" s="46"/>
      <c r="K25" s="46"/>
      <c r="L25" s="46"/>
      <c r="M25" s="46"/>
      <c r="N25" s="46"/>
      <c r="O25" s="40"/>
      <c r="P25" s="36"/>
      <c r="Q25" s="36">
        <v>15</v>
      </c>
      <c r="R25" s="36">
        <f>(J10-C10)/(J18-C18)*1000</f>
        <v>600</v>
      </c>
      <c r="S25" s="36">
        <f>(K10-D10)/(K18-D18)*1000</f>
        <v>335.76642335766422</v>
      </c>
      <c r="T25" s="36">
        <f>(L10-E10)/(L18-E18)*1000</f>
        <v>2500</v>
      </c>
      <c r="U25" s="36"/>
      <c r="V25" s="36"/>
      <c r="W25" s="36"/>
      <c r="X25" s="36"/>
      <c r="Y25" s="493"/>
      <c r="Z25" s="493"/>
      <c r="AA25" s="493"/>
      <c r="AB25" s="493"/>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42"/>
      <c r="B26" s="39"/>
      <c r="C26" s="39"/>
      <c r="D26" s="39"/>
      <c r="E26" s="39"/>
      <c r="F26" s="39"/>
      <c r="G26" s="46"/>
      <c r="H26" s="46"/>
      <c r="I26" s="46"/>
      <c r="J26" s="46"/>
      <c r="K26" s="46"/>
      <c r="L26" s="46"/>
      <c r="M26" s="46"/>
      <c r="N26" s="46"/>
      <c r="O26" s="40"/>
      <c r="P26" s="36"/>
      <c r="Q26" s="36">
        <v>16</v>
      </c>
      <c r="R26" s="36">
        <f>(J11-C11)/(J19-C19)*1000</f>
        <v>673.07692307692309</v>
      </c>
      <c r="S26" s="36">
        <f>(K11-D11)/(K19-D19)*1000</f>
        <v>1333.3333333333333</v>
      </c>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42">
        <v>0.5</v>
      </c>
      <c r="B27" s="39" t="s">
        <v>21</v>
      </c>
      <c r="C27" s="39"/>
      <c r="D27" s="256"/>
      <c r="E27" s="70"/>
      <c r="F27" s="70"/>
      <c r="G27" s="71"/>
      <c r="H27" s="39"/>
      <c r="I27" s="39"/>
      <c r="J27" s="39"/>
      <c r="K27" s="39"/>
      <c r="L27" s="39"/>
      <c r="M27" s="39"/>
      <c r="N27" s="39"/>
      <c r="O27" s="40"/>
      <c r="P27" s="36"/>
      <c r="Q27" s="36">
        <v>17</v>
      </c>
      <c r="R27" s="36">
        <f>(J12-C12)/(J20-C20)*1000</f>
        <v>1388.8888888888889</v>
      </c>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42"/>
      <c r="B28" s="39" t="s">
        <v>643</v>
      </c>
      <c r="C28" s="39"/>
      <c r="D28" s="256"/>
      <c r="E28" s="70"/>
      <c r="F28" s="70"/>
      <c r="G28" s="71"/>
      <c r="H28" s="39"/>
      <c r="I28" s="39"/>
      <c r="J28" s="39"/>
      <c r="K28" s="39"/>
      <c r="L28" s="39"/>
      <c r="M28" s="39"/>
      <c r="N28" s="39"/>
      <c r="O28" s="40"/>
      <c r="P28" s="36"/>
      <c r="Q28" s="36" t="s">
        <v>644</v>
      </c>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thickBot="1" x14ac:dyDescent="0.3">
      <c r="A29" s="75"/>
      <c r="B29" s="76"/>
      <c r="C29" s="257"/>
      <c r="D29" s="258"/>
      <c r="E29" s="258"/>
      <c r="F29" s="258"/>
      <c r="G29" s="258"/>
      <c r="H29" s="258"/>
      <c r="I29" s="258"/>
      <c r="J29" s="258"/>
      <c r="K29" s="258"/>
      <c r="L29" s="258"/>
      <c r="M29" s="258"/>
      <c r="N29" s="258"/>
      <c r="O29" s="259"/>
      <c r="P29" s="36"/>
      <c r="Q29" s="36" t="s">
        <v>61</v>
      </c>
      <c r="R29" s="36">
        <v>12</v>
      </c>
      <c r="S29" s="36">
        <v>24</v>
      </c>
      <c r="T29" s="36">
        <v>36</v>
      </c>
      <c r="U29" s="36">
        <v>48</v>
      </c>
      <c r="V29" s="36">
        <v>60</v>
      </c>
      <c r="W29" s="36"/>
      <c r="X29" s="36"/>
      <c r="Y29" s="493"/>
      <c r="Z29" s="493"/>
      <c r="AA29" s="493"/>
      <c r="AB29" s="493"/>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82"/>
      <c r="H30" s="82"/>
      <c r="I30" s="82"/>
      <c r="J30" s="82"/>
      <c r="K30" s="82"/>
      <c r="L30" s="82"/>
      <c r="M30" s="82"/>
      <c r="N30" s="82"/>
      <c r="O30" s="82"/>
      <c r="P30" s="36"/>
      <c r="Q30" s="36">
        <v>13</v>
      </c>
      <c r="R30" s="36">
        <f>C8/C16*1000</f>
        <v>138.88888888888889</v>
      </c>
      <c r="S30" s="36">
        <f>D8/D16*1000</f>
        <v>452.67489711934155</v>
      </c>
      <c r="T30" s="36">
        <f>E8/E16*1000</f>
        <v>488.72180451127815</v>
      </c>
      <c r="U30" s="36">
        <f>F8/F16*1000</f>
        <v>471.49894440534837</v>
      </c>
      <c r="V30" s="36">
        <f>G8/G16*1000</f>
        <v>470.98976109215016</v>
      </c>
      <c r="W30" s="36"/>
      <c r="X30" s="36"/>
      <c r="Y30" s="493"/>
      <c r="Z30" s="493"/>
      <c r="AA30" s="493"/>
      <c r="AB30" s="493"/>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c r="C31" s="36"/>
      <c r="D31" s="36"/>
      <c r="E31" s="36"/>
      <c r="F31" s="36"/>
      <c r="G31" s="36"/>
      <c r="H31" s="82"/>
      <c r="I31" s="82"/>
      <c r="J31" s="82"/>
      <c r="K31" s="82"/>
      <c r="L31" s="82"/>
      <c r="M31" s="82"/>
      <c r="N31" s="82"/>
      <c r="O31" s="82"/>
      <c r="P31" s="36"/>
      <c r="Q31" s="36">
        <v>14</v>
      </c>
      <c r="R31" s="36">
        <f>C9/C17*1000</f>
        <v>238.41059602649005</v>
      </c>
      <c r="S31" s="36">
        <f>D9/D17*1000</f>
        <v>644.12238325281805</v>
      </c>
      <c r="T31" s="36">
        <f>E9/E17*1000</f>
        <v>630.09636767976269</v>
      </c>
      <c r="U31" s="36">
        <f>F9/F17*1000</f>
        <v>600.97833682739338</v>
      </c>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36"/>
      <c r="D32" s="36"/>
      <c r="E32" s="36"/>
      <c r="F32" s="36"/>
      <c r="G32" s="36"/>
      <c r="H32" s="82"/>
      <c r="I32" s="82"/>
      <c r="J32" s="82"/>
      <c r="K32" s="82"/>
      <c r="L32" s="82"/>
      <c r="M32" s="82"/>
      <c r="N32" s="82"/>
      <c r="O32" s="82"/>
      <c r="P32" s="36"/>
      <c r="Q32" s="36">
        <v>15</v>
      </c>
      <c r="R32" s="36">
        <f>C10/C18*1000</f>
        <v>360</v>
      </c>
      <c r="S32" s="36">
        <f>D10/D18*1000</f>
        <v>794.80940794809408</v>
      </c>
      <c r="T32" s="36">
        <f>E10/E18*1000</f>
        <v>789.47368421052636</v>
      </c>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36"/>
      <c r="C33" s="36"/>
      <c r="D33" s="36"/>
      <c r="E33" s="36"/>
      <c r="F33" s="36"/>
      <c r="G33" s="36"/>
      <c r="H33" s="82"/>
      <c r="I33" s="82"/>
      <c r="J33" s="82"/>
      <c r="K33" s="82"/>
      <c r="L33" s="82"/>
      <c r="M33" s="82"/>
      <c r="N33" s="82"/>
      <c r="O33" s="82"/>
      <c r="P33" s="36"/>
      <c r="Q33" s="36">
        <v>16</v>
      </c>
      <c r="R33" s="36">
        <f>C11/C19*1000</f>
        <v>384.61538461538464</v>
      </c>
      <c r="S33" s="36">
        <f>D11/D19*1000</f>
        <v>658.43621399176959</v>
      </c>
      <c r="T33" s="36"/>
      <c r="U33" s="36"/>
      <c r="V33" s="36"/>
      <c r="W33" s="36"/>
      <c r="X33" s="36"/>
      <c r="Y33" s="493"/>
      <c r="Z33" s="493"/>
      <c r="AA33" s="493"/>
      <c r="AB33" s="493"/>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36"/>
      <c r="C34" s="36"/>
      <c r="D34" s="36"/>
      <c r="E34" s="36"/>
      <c r="F34" s="36"/>
      <c r="G34" s="36"/>
      <c r="H34" s="82"/>
      <c r="I34" s="82"/>
      <c r="J34" s="82"/>
      <c r="K34" s="82"/>
      <c r="L34" s="82"/>
      <c r="M34" s="82"/>
      <c r="N34" s="82"/>
      <c r="O34" s="82"/>
      <c r="P34" s="36"/>
      <c r="Q34" s="36">
        <v>17</v>
      </c>
      <c r="R34" s="36">
        <f>C12/C20*1000</f>
        <v>370.37037037037032</v>
      </c>
      <c r="S34" s="36"/>
      <c r="T34" s="36"/>
      <c r="U34" s="36"/>
      <c r="V34" s="36"/>
      <c r="W34" s="36"/>
      <c r="X34" s="36"/>
      <c r="Y34" s="493"/>
      <c r="Z34" s="493"/>
      <c r="AA34" s="493"/>
      <c r="AB34" s="493"/>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36"/>
      <c r="C35" s="36"/>
      <c r="D35" s="36"/>
      <c r="E35" s="36"/>
      <c r="F35" s="36"/>
      <c r="G35" s="36"/>
      <c r="H35" s="82"/>
      <c r="I35" s="82"/>
      <c r="J35" s="82"/>
      <c r="K35" s="82"/>
      <c r="L35" s="82"/>
      <c r="M35" s="82"/>
      <c r="N35" s="82"/>
      <c r="O35" s="82"/>
      <c r="P35" s="36"/>
      <c r="Q35" s="36"/>
      <c r="R35" s="82"/>
      <c r="S35" s="82"/>
      <c r="T35" s="82"/>
      <c r="U35" s="82"/>
      <c r="V35" s="82"/>
      <c r="W35" s="36"/>
      <c r="X35" s="36"/>
      <c r="Y35" s="493"/>
      <c r="Z35" s="493"/>
      <c r="AA35" s="493"/>
      <c r="AB35" s="493"/>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36"/>
      <c r="C36" s="36"/>
      <c r="D36" s="36"/>
      <c r="E36" s="36"/>
      <c r="F36" s="36"/>
      <c r="G36" s="36"/>
      <c r="H36" s="82"/>
      <c r="I36" s="82"/>
      <c r="J36" s="82"/>
      <c r="K36" s="82"/>
      <c r="L36" s="82"/>
      <c r="M36" s="82"/>
      <c r="N36" s="82"/>
      <c r="O36" s="82"/>
      <c r="P36" s="36"/>
      <c r="Q36" s="36" t="s">
        <v>645</v>
      </c>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36"/>
      <c r="C37" s="82"/>
      <c r="D37" s="82"/>
      <c r="E37" s="82"/>
      <c r="F37" s="82"/>
      <c r="G37" s="82"/>
      <c r="H37" s="82"/>
      <c r="I37" s="82"/>
      <c r="J37" s="82"/>
      <c r="K37" s="82"/>
      <c r="L37" s="82"/>
      <c r="M37" s="82"/>
      <c r="N37" s="82"/>
      <c r="O37" s="82"/>
      <c r="P37" s="36"/>
      <c r="Q37" s="36" t="s">
        <v>646</v>
      </c>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36"/>
      <c r="C38" s="82"/>
      <c r="D38" s="82"/>
      <c r="E38" s="82"/>
      <c r="F38" s="82"/>
      <c r="G38" s="82"/>
      <c r="H38" s="82"/>
      <c r="I38" s="82"/>
      <c r="J38" s="82"/>
      <c r="K38" s="82"/>
      <c r="L38" s="82"/>
      <c r="M38" s="82"/>
      <c r="N38" s="82"/>
      <c r="O38" s="82"/>
      <c r="P38" s="36"/>
      <c r="Q38" s="36" t="s">
        <v>647</v>
      </c>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36"/>
      <c r="C39" s="82"/>
      <c r="D39" s="82"/>
      <c r="E39" s="82"/>
      <c r="F39" s="82"/>
      <c r="G39" s="82"/>
      <c r="H39" s="82"/>
      <c r="I39" s="82"/>
      <c r="J39" s="82"/>
      <c r="K39" s="82"/>
      <c r="L39" s="82"/>
      <c r="M39" s="82"/>
      <c r="N39" s="82"/>
      <c r="O39" s="82"/>
      <c r="P39" s="36"/>
      <c r="Q39" s="36" t="s">
        <v>648</v>
      </c>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36"/>
      <c r="C40" s="82"/>
      <c r="D40" s="82"/>
      <c r="E40" s="82"/>
      <c r="F40" s="82"/>
      <c r="G40" s="82"/>
      <c r="H40" s="82"/>
      <c r="I40" s="82"/>
      <c r="J40" s="82"/>
      <c r="K40" s="82"/>
      <c r="L40" s="82"/>
      <c r="M40" s="82"/>
      <c r="N40" s="82"/>
      <c r="O40" s="82"/>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82"/>
      <c r="J41" s="82"/>
      <c r="K41" s="82"/>
      <c r="L41" s="82"/>
      <c r="M41" s="82"/>
      <c r="N41" s="82"/>
      <c r="O41" s="82"/>
      <c r="P41" s="36"/>
      <c r="Q41" s="36" t="s">
        <v>649</v>
      </c>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82"/>
      <c r="J42" s="82"/>
      <c r="K42" s="82"/>
      <c r="L42" s="82"/>
      <c r="M42" s="82"/>
      <c r="N42" s="82"/>
      <c r="O42" s="82"/>
      <c r="P42" s="36"/>
      <c r="Q42" s="36" t="s">
        <v>650</v>
      </c>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82"/>
      <c r="J43" s="82"/>
      <c r="K43" s="82"/>
      <c r="L43" s="82"/>
      <c r="M43" s="82"/>
      <c r="N43" s="82"/>
      <c r="O43" s="82"/>
      <c r="P43" s="36"/>
      <c r="Q43" s="36" t="s">
        <v>651</v>
      </c>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82"/>
      <c r="J44" s="82"/>
      <c r="K44" s="82"/>
      <c r="L44" s="82"/>
      <c r="M44" s="82"/>
      <c r="N44" s="82"/>
      <c r="O44" s="82"/>
      <c r="P44" s="36"/>
      <c r="Q44" s="36" t="s">
        <v>652</v>
      </c>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82"/>
      <c r="K45" s="82"/>
      <c r="L45" s="82"/>
      <c r="M45" s="82"/>
      <c r="N45" s="82"/>
      <c r="O45" s="82"/>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82"/>
      <c r="K46" s="82"/>
      <c r="L46" s="82"/>
      <c r="M46" s="82"/>
      <c r="N46" s="82"/>
      <c r="O46" s="82"/>
      <c r="P46" s="36"/>
      <c r="Q46" s="36" t="s">
        <v>21</v>
      </c>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82"/>
      <c r="K47" s="82"/>
      <c r="L47" s="82"/>
      <c r="M47" s="82"/>
      <c r="N47" s="82"/>
      <c r="O47" s="82"/>
      <c r="P47" s="36"/>
      <c r="Q47" s="36" t="s">
        <v>653</v>
      </c>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82"/>
      <c r="K48" s="82"/>
      <c r="L48" s="82"/>
      <c r="M48" s="82"/>
      <c r="N48" s="82"/>
      <c r="O48" s="82"/>
      <c r="P48" s="36"/>
      <c r="Q48" s="36" t="s">
        <v>654</v>
      </c>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82"/>
      <c r="K49" s="82"/>
      <c r="L49" s="82"/>
      <c r="M49" s="82"/>
      <c r="N49" s="82"/>
      <c r="O49" s="82"/>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82"/>
      <c r="K50" s="82"/>
      <c r="L50" s="82"/>
      <c r="M50" s="82"/>
      <c r="N50" s="82"/>
      <c r="O50" s="82"/>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82"/>
      <c r="K51" s="82"/>
      <c r="L51" s="82"/>
      <c r="M51" s="82"/>
      <c r="N51" s="82"/>
      <c r="O51" s="82"/>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82"/>
      <c r="K52" s="82"/>
      <c r="L52" s="82"/>
      <c r="M52" s="82"/>
      <c r="N52" s="82"/>
      <c r="O52" s="82"/>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82"/>
      <c r="K53" s="82"/>
      <c r="L53" s="82"/>
      <c r="M53" s="82"/>
      <c r="N53" s="82"/>
      <c r="O53" s="82"/>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82"/>
      <c r="K54" s="82"/>
      <c r="L54" s="82"/>
      <c r="M54" s="82"/>
      <c r="N54" s="82"/>
      <c r="O54" s="82"/>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82"/>
      <c r="K55" s="82"/>
      <c r="L55" s="82"/>
      <c r="M55" s="82"/>
      <c r="N55" s="82"/>
      <c r="O55" s="82"/>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82"/>
      <c r="K56" s="82"/>
      <c r="L56" s="82"/>
      <c r="M56" s="82"/>
      <c r="N56" s="82"/>
      <c r="O56" s="82"/>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82"/>
      <c r="K57" s="82"/>
      <c r="L57" s="82"/>
      <c r="M57" s="82"/>
      <c r="N57" s="82"/>
      <c r="O57" s="82"/>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82"/>
      <c r="K58" s="82"/>
      <c r="L58" s="82"/>
      <c r="M58" s="82"/>
      <c r="N58" s="82"/>
      <c r="O58" s="82"/>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82"/>
      <c r="K59" s="82"/>
      <c r="L59" s="82"/>
      <c r="M59" s="82"/>
      <c r="N59" s="82"/>
      <c r="O59" s="82"/>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82"/>
      <c r="K60" s="82"/>
      <c r="L60" s="82"/>
      <c r="M60" s="82"/>
      <c r="N60" s="82"/>
      <c r="O60" s="82"/>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56" firstPageNumber="0" orientation="portrait"/>
  <headerFooter alignWithMargins="0">
    <oddHeader>&amp;CSpring 2018 Exam 5 Make-Up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Z200"/>
  <sheetViews>
    <sheetView workbookViewId="0"/>
  </sheetViews>
  <sheetFormatPr defaultColWidth="0" defaultRowHeight="0" customHeight="1" zeroHeight="1" x14ac:dyDescent="0.25"/>
  <cols>
    <col min="1" max="1" width="9.875" style="37" customWidth="1"/>
    <col min="2" max="4" width="9.375" style="37" customWidth="1"/>
    <col min="5" max="5" width="5.375" style="37" customWidth="1"/>
    <col min="6" max="49" width="9.375" style="37" customWidth="1"/>
    <col min="50" max="16384" width="9.375" style="37" hidden="1"/>
  </cols>
  <sheetData>
    <row r="1" spans="1:52" ht="15.75" thickBot="1" x14ac:dyDescent="0.3">
      <c r="A1" s="1">
        <v>20</v>
      </c>
      <c r="B1" s="2"/>
      <c r="C1" s="33"/>
      <c r="D1" s="33"/>
      <c r="E1" s="33"/>
      <c r="F1" s="33"/>
      <c r="G1" s="33"/>
      <c r="H1" s="33"/>
      <c r="I1" s="33"/>
      <c r="J1" s="33"/>
      <c r="K1" s="33"/>
      <c r="L1" s="33"/>
      <c r="M1" s="33"/>
      <c r="N1" s="33"/>
      <c r="O1" s="34"/>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39"/>
      <c r="I2" s="39"/>
      <c r="J2" s="39"/>
      <c r="K2" s="39"/>
      <c r="L2" s="39"/>
      <c r="M2" s="39"/>
      <c r="N2" s="39"/>
      <c r="O2" s="40"/>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2</v>
      </c>
      <c r="B3" s="39"/>
      <c r="C3" s="39"/>
      <c r="D3" s="39"/>
      <c r="E3" s="39"/>
      <c r="F3" s="39"/>
      <c r="G3" s="39"/>
      <c r="H3" s="39"/>
      <c r="I3" s="39"/>
      <c r="J3" s="39"/>
      <c r="K3" s="39"/>
      <c r="L3" s="39"/>
      <c r="M3" s="39"/>
      <c r="N3" s="39"/>
      <c r="O3" s="40"/>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633</v>
      </c>
      <c r="C4" s="39"/>
      <c r="D4" s="39"/>
      <c r="E4" s="39"/>
      <c r="F4" s="39"/>
      <c r="G4" s="46"/>
      <c r="H4" s="46"/>
      <c r="I4" s="46"/>
      <c r="J4" s="46"/>
      <c r="K4" s="46"/>
      <c r="L4" s="46"/>
      <c r="M4" s="46"/>
      <c r="N4" s="46"/>
      <c r="O4" s="47"/>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689"/>
      <c r="C5" s="689"/>
      <c r="D5" s="689"/>
      <c r="E5" s="689"/>
      <c r="F5" s="689"/>
      <c r="G5" s="689"/>
      <c r="H5" s="46"/>
      <c r="I5" s="689"/>
      <c r="J5" s="689"/>
      <c r="K5" s="689"/>
      <c r="L5" s="689"/>
      <c r="M5" s="689"/>
      <c r="N5" s="689"/>
      <c r="O5" s="47"/>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35.25" customHeight="1" x14ac:dyDescent="0.25">
      <c r="A6" s="42"/>
      <c r="B6" s="690" t="s">
        <v>135</v>
      </c>
      <c r="C6" s="691" t="s">
        <v>635</v>
      </c>
      <c r="D6" s="691"/>
      <c r="E6" s="691"/>
      <c r="F6" s="691"/>
      <c r="G6" s="692"/>
      <c r="H6" s="46"/>
      <c r="I6" s="690" t="s">
        <v>135</v>
      </c>
      <c r="J6" s="691" t="s">
        <v>636</v>
      </c>
      <c r="K6" s="691"/>
      <c r="L6" s="691"/>
      <c r="M6" s="691"/>
      <c r="N6" s="692"/>
      <c r="O6" s="47"/>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thickBot="1" x14ac:dyDescent="0.3">
      <c r="A7" s="42"/>
      <c r="B7" s="693" t="s">
        <v>83</v>
      </c>
      <c r="C7" s="694">
        <v>12</v>
      </c>
      <c r="D7" s="694">
        <v>24</v>
      </c>
      <c r="E7" s="694">
        <v>36</v>
      </c>
      <c r="F7" s="694">
        <v>48</v>
      </c>
      <c r="G7" s="695">
        <v>60</v>
      </c>
      <c r="H7" s="46"/>
      <c r="I7" s="693" t="s">
        <v>83</v>
      </c>
      <c r="J7" s="694">
        <v>12</v>
      </c>
      <c r="K7" s="694">
        <v>24</v>
      </c>
      <c r="L7" s="694">
        <v>36</v>
      </c>
      <c r="M7" s="694">
        <v>48</v>
      </c>
      <c r="N7" s="695">
        <v>60</v>
      </c>
      <c r="O7" s="47"/>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697">
        <v>2013</v>
      </c>
      <c r="C8" s="698">
        <v>100</v>
      </c>
      <c r="D8" s="699">
        <v>550</v>
      </c>
      <c r="E8" s="699">
        <v>650</v>
      </c>
      <c r="F8" s="699">
        <v>670</v>
      </c>
      <c r="G8" s="700">
        <v>690</v>
      </c>
      <c r="H8" s="46"/>
      <c r="I8" s="697">
        <v>2013</v>
      </c>
      <c r="J8" s="698">
        <v>400</v>
      </c>
      <c r="K8" s="699">
        <v>600</v>
      </c>
      <c r="L8" s="699">
        <v>675</v>
      </c>
      <c r="M8" s="699">
        <v>675</v>
      </c>
      <c r="N8" s="700">
        <v>700</v>
      </c>
      <c r="O8" s="47"/>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 x14ac:dyDescent="0.25">
      <c r="A9" s="42"/>
      <c r="B9" s="701">
        <v>2014</v>
      </c>
      <c r="C9" s="702">
        <v>180</v>
      </c>
      <c r="D9" s="703">
        <v>800</v>
      </c>
      <c r="E9" s="703">
        <v>850</v>
      </c>
      <c r="F9" s="703">
        <v>860</v>
      </c>
      <c r="G9" s="704"/>
      <c r="H9" s="46"/>
      <c r="I9" s="701">
        <v>2014</v>
      </c>
      <c r="J9" s="702">
        <v>500</v>
      </c>
      <c r="K9" s="703">
        <v>850</v>
      </c>
      <c r="L9" s="703">
        <v>871.2</v>
      </c>
      <c r="M9" s="703">
        <v>872.94240000000002</v>
      </c>
      <c r="N9" s="704"/>
      <c r="O9" s="47"/>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701">
        <v>2015</v>
      </c>
      <c r="C10" s="702">
        <v>270</v>
      </c>
      <c r="D10" s="703">
        <v>980</v>
      </c>
      <c r="E10" s="703">
        <v>1050</v>
      </c>
      <c r="F10" s="703"/>
      <c r="G10" s="704"/>
      <c r="H10" s="46"/>
      <c r="I10" s="701">
        <v>2015</v>
      </c>
      <c r="J10" s="702">
        <v>570</v>
      </c>
      <c r="K10" s="703">
        <v>1026</v>
      </c>
      <c r="L10" s="703">
        <v>1100</v>
      </c>
      <c r="M10" s="703"/>
      <c r="N10" s="704"/>
      <c r="O10" s="47"/>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701">
        <v>2016</v>
      </c>
      <c r="C11" s="702">
        <v>300</v>
      </c>
      <c r="D11" s="703">
        <v>800</v>
      </c>
      <c r="E11" s="703"/>
      <c r="F11" s="703"/>
      <c r="G11" s="704"/>
      <c r="H11" s="46"/>
      <c r="I11" s="701">
        <v>2016</v>
      </c>
      <c r="J11" s="702">
        <v>650</v>
      </c>
      <c r="K11" s="703">
        <v>900</v>
      </c>
      <c r="L11" s="703"/>
      <c r="M11" s="703"/>
      <c r="N11" s="704"/>
      <c r="O11" s="47"/>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705">
        <v>2017</v>
      </c>
      <c r="C12" s="706">
        <v>300</v>
      </c>
      <c r="D12" s="707"/>
      <c r="E12" s="707"/>
      <c r="F12" s="707"/>
      <c r="G12" s="708"/>
      <c r="H12" s="46"/>
      <c r="I12" s="705">
        <v>2017</v>
      </c>
      <c r="J12" s="706">
        <v>800</v>
      </c>
      <c r="K12" s="707"/>
      <c r="L12" s="707"/>
      <c r="M12" s="707"/>
      <c r="N12" s="708"/>
      <c r="O12" s="47"/>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thickBot="1" x14ac:dyDescent="0.3">
      <c r="A13" s="42"/>
      <c r="B13" s="689"/>
      <c r="C13" s="689"/>
      <c r="D13" s="689"/>
      <c r="E13" s="689"/>
      <c r="F13" s="689"/>
      <c r="G13" s="689"/>
      <c r="H13" s="46"/>
      <c r="I13" s="689"/>
      <c r="J13" s="689"/>
      <c r="K13" s="689"/>
      <c r="L13" s="689"/>
      <c r="M13" s="689"/>
      <c r="N13" s="689"/>
      <c r="O13" s="47"/>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c r="B14" s="690" t="s">
        <v>135</v>
      </c>
      <c r="C14" s="691" t="s">
        <v>569</v>
      </c>
      <c r="D14" s="691"/>
      <c r="E14" s="691"/>
      <c r="F14" s="691"/>
      <c r="G14" s="692"/>
      <c r="H14" s="46"/>
      <c r="I14" s="690" t="s">
        <v>135</v>
      </c>
      <c r="J14" s="691" t="s">
        <v>638</v>
      </c>
      <c r="K14" s="691"/>
      <c r="L14" s="691"/>
      <c r="M14" s="691"/>
      <c r="N14" s="692"/>
      <c r="O14" s="47"/>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thickBot="1" x14ac:dyDescent="0.3">
      <c r="A15" s="42"/>
      <c r="B15" s="693" t="s">
        <v>83</v>
      </c>
      <c r="C15" s="694">
        <v>12</v>
      </c>
      <c r="D15" s="694">
        <v>24</v>
      </c>
      <c r="E15" s="694">
        <v>36</v>
      </c>
      <c r="F15" s="694">
        <v>48</v>
      </c>
      <c r="G15" s="695">
        <v>60</v>
      </c>
      <c r="H15" s="46"/>
      <c r="I15" s="693" t="s">
        <v>83</v>
      </c>
      <c r="J15" s="694">
        <v>12</v>
      </c>
      <c r="K15" s="694">
        <v>24</v>
      </c>
      <c r="L15" s="694">
        <v>36</v>
      </c>
      <c r="M15" s="694">
        <v>48</v>
      </c>
      <c r="N15" s="695">
        <v>60</v>
      </c>
      <c r="O15" s="47"/>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697">
        <v>2013</v>
      </c>
      <c r="C16" s="698">
        <v>720</v>
      </c>
      <c r="D16" s="699">
        <v>1215</v>
      </c>
      <c r="E16" s="699">
        <v>1330</v>
      </c>
      <c r="F16" s="699">
        <v>1421</v>
      </c>
      <c r="G16" s="700">
        <v>1465</v>
      </c>
      <c r="H16" s="46"/>
      <c r="I16" s="697">
        <v>2013</v>
      </c>
      <c r="J16" s="698">
        <v>1200</v>
      </c>
      <c r="K16" s="699">
        <v>1350</v>
      </c>
      <c r="L16" s="699">
        <v>1400</v>
      </c>
      <c r="M16" s="699">
        <v>1450</v>
      </c>
      <c r="N16" s="700">
        <v>1470</v>
      </c>
      <c r="O16" s="47"/>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701">
        <v>2014</v>
      </c>
      <c r="C17" s="702">
        <v>755</v>
      </c>
      <c r="D17" s="703">
        <v>1242</v>
      </c>
      <c r="E17" s="703">
        <v>1349</v>
      </c>
      <c r="F17" s="703">
        <v>1431</v>
      </c>
      <c r="G17" s="704"/>
      <c r="H17" s="46"/>
      <c r="I17" s="701">
        <v>2014</v>
      </c>
      <c r="J17" s="702">
        <v>1258</v>
      </c>
      <c r="K17" s="703">
        <v>1380</v>
      </c>
      <c r="L17" s="703">
        <v>1420</v>
      </c>
      <c r="M17" s="703">
        <v>1440</v>
      </c>
      <c r="N17" s="704"/>
      <c r="O17" s="47"/>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701">
        <v>2015</v>
      </c>
      <c r="C18" s="702">
        <v>750</v>
      </c>
      <c r="D18" s="703">
        <v>1233</v>
      </c>
      <c r="E18" s="703">
        <v>1330</v>
      </c>
      <c r="F18" s="703"/>
      <c r="G18" s="704"/>
      <c r="H18" s="46"/>
      <c r="I18" s="701">
        <v>2015</v>
      </c>
      <c r="J18" s="702">
        <v>1250</v>
      </c>
      <c r="K18" s="703">
        <v>1370</v>
      </c>
      <c r="L18" s="703">
        <v>1350</v>
      </c>
      <c r="M18" s="703"/>
      <c r="N18" s="704"/>
      <c r="O18" s="47"/>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2"/>
      <c r="B19" s="701">
        <v>2016</v>
      </c>
      <c r="C19" s="702">
        <v>780</v>
      </c>
      <c r="D19" s="703">
        <v>1215</v>
      </c>
      <c r="E19" s="703"/>
      <c r="F19" s="703"/>
      <c r="G19" s="704"/>
      <c r="H19" s="46"/>
      <c r="I19" s="701">
        <v>2016</v>
      </c>
      <c r="J19" s="702">
        <v>1300</v>
      </c>
      <c r="K19" s="703">
        <v>1290</v>
      </c>
      <c r="L19" s="703"/>
      <c r="M19" s="703"/>
      <c r="N19" s="704"/>
      <c r="O19" s="47"/>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thickBot="1" x14ac:dyDescent="0.3">
      <c r="A20" s="42"/>
      <c r="B20" s="705">
        <v>2017</v>
      </c>
      <c r="C20" s="706">
        <v>810</v>
      </c>
      <c r="D20" s="707"/>
      <c r="E20" s="707"/>
      <c r="F20" s="707"/>
      <c r="G20" s="708"/>
      <c r="H20" s="46"/>
      <c r="I20" s="705">
        <v>2017</v>
      </c>
      <c r="J20" s="706">
        <v>1170</v>
      </c>
      <c r="K20" s="707"/>
      <c r="L20" s="707"/>
      <c r="M20" s="707"/>
      <c r="N20" s="708"/>
      <c r="O20" s="47"/>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88"/>
      <c r="C21" s="703"/>
      <c r="D21" s="703"/>
      <c r="E21" s="703"/>
      <c r="F21" s="703"/>
      <c r="G21" s="703"/>
      <c r="H21" s="46"/>
      <c r="I21" s="709"/>
      <c r="J21" s="703"/>
      <c r="K21" s="703"/>
      <c r="L21" s="703"/>
      <c r="M21" s="703"/>
      <c r="N21" s="703"/>
      <c r="O21" s="47"/>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v>1.5</v>
      </c>
      <c r="B22" s="710" t="s">
        <v>19</v>
      </c>
      <c r="C22" s="682"/>
      <c r="D22" s="39"/>
      <c r="E22" s="39"/>
      <c r="F22" s="39"/>
      <c r="G22" s="46"/>
      <c r="H22" s="46"/>
      <c r="I22" s="46"/>
      <c r="J22" s="46"/>
      <c r="K22" s="46"/>
      <c r="L22" s="46"/>
      <c r="M22" s="46"/>
      <c r="N22" s="46"/>
      <c r="O22" s="47"/>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c r="B23" s="133" t="s">
        <v>640</v>
      </c>
      <c r="C23" s="682"/>
      <c r="D23" s="39"/>
      <c r="E23" s="39"/>
      <c r="F23" s="39"/>
      <c r="G23" s="46"/>
      <c r="H23" s="46"/>
      <c r="I23" s="46"/>
      <c r="J23" s="46"/>
      <c r="K23" s="46"/>
      <c r="L23" s="46"/>
      <c r="M23" s="46"/>
      <c r="N23" s="46"/>
      <c r="O23" s="47"/>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c r="B24" s="711" t="s">
        <v>641</v>
      </c>
      <c r="C24" s="39"/>
      <c r="D24" s="39"/>
      <c r="E24" s="39"/>
      <c r="F24" s="39"/>
      <c r="G24" s="46"/>
      <c r="H24" s="46"/>
      <c r="I24" s="46"/>
      <c r="J24" s="46"/>
      <c r="K24" s="46"/>
      <c r="L24" s="46"/>
      <c r="M24" s="46"/>
      <c r="N24" s="46"/>
      <c r="O24" s="40"/>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2"/>
      <c r="B25" s="712" t="s">
        <v>642</v>
      </c>
      <c r="C25" s="39"/>
      <c r="D25" s="39"/>
      <c r="E25" s="39"/>
      <c r="F25" s="39"/>
      <c r="G25" s="46"/>
      <c r="H25" s="46"/>
      <c r="I25" s="46"/>
      <c r="J25" s="46"/>
      <c r="K25" s="46"/>
      <c r="L25" s="46"/>
      <c r="M25" s="46"/>
      <c r="N25" s="46"/>
      <c r="O25" s="40"/>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42"/>
      <c r="B26" s="39"/>
      <c r="C26" s="39"/>
      <c r="D26" s="39"/>
      <c r="E26" s="39"/>
      <c r="F26" s="39"/>
      <c r="G26" s="46"/>
      <c r="H26" s="46"/>
      <c r="I26" s="46"/>
      <c r="J26" s="46"/>
      <c r="K26" s="46"/>
      <c r="L26" s="46"/>
      <c r="M26" s="46"/>
      <c r="N26" s="46"/>
      <c r="O26" s="40"/>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42">
        <v>0.5</v>
      </c>
      <c r="B27" s="39" t="s">
        <v>21</v>
      </c>
      <c r="C27" s="39"/>
      <c r="D27" s="256"/>
      <c r="E27" s="70"/>
      <c r="F27" s="70"/>
      <c r="G27" s="71"/>
      <c r="H27" s="39"/>
      <c r="I27" s="39"/>
      <c r="J27" s="39"/>
      <c r="K27" s="39"/>
      <c r="L27" s="39"/>
      <c r="M27" s="39"/>
      <c r="N27" s="39"/>
      <c r="O27" s="40"/>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42"/>
      <c r="B28" s="39" t="s">
        <v>643</v>
      </c>
      <c r="C28" s="39"/>
      <c r="D28" s="256"/>
      <c r="E28" s="70"/>
      <c r="F28" s="70"/>
      <c r="G28" s="71"/>
      <c r="H28" s="39"/>
      <c r="I28" s="39"/>
      <c r="J28" s="39"/>
      <c r="K28" s="39"/>
      <c r="L28" s="39"/>
      <c r="M28" s="39"/>
      <c r="N28" s="39"/>
      <c r="O28" s="40"/>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thickBot="1" x14ac:dyDescent="0.3">
      <c r="A29" s="75"/>
      <c r="B29" s="76"/>
      <c r="C29" s="257"/>
      <c r="D29" s="258"/>
      <c r="E29" s="258"/>
      <c r="F29" s="258"/>
      <c r="G29" s="258"/>
      <c r="H29" s="258"/>
      <c r="I29" s="258"/>
      <c r="J29" s="258"/>
      <c r="K29" s="258"/>
      <c r="L29" s="258"/>
      <c r="M29" s="258"/>
      <c r="N29" s="258"/>
      <c r="O29" s="259"/>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82"/>
      <c r="H30" s="82"/>
      <c r="I30" s="82"/>
      <c r="J30" s="82"/>
      <c r="K30" s="82"/>
      <c r="L30" s="82"/>
      <c r="M30" s="82"/>
      <c r="N30" s="82"/>
      <c r="O30" s="82"/>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t="s">
        <v>19</v>
      </c>
      <c r="C31" s="82"/>
      <c r="D31" s="82"/>
      <c r="E31" s="82"/>
      <c r="F31" s="82"/>
      <c r="G31" s="82"/>
      <c r="H31" s="82"/>
      <c r="I31" s="82"/>
      <c r="J31" s="82"/>
      <c r="K31" s="82"/>
      <c r="L31" s="82"/>
      <c r="M31" s="82"/>
      <c r="N31" s="82"/>
      <c r="O31" s="82"/>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t="s">
        <v>655</v>
      </c>
      <c r="C32" s="82" t="s">
        <v>656</v>
      </c>
      <c r="D32" s="82"/>
      <c r="E32" s="82"/>
      <c r="F32" s="82"/>
      <c r="G32" s="82"/>
      <c r="H32" s="82"/>
      <c r="I32" s="82"/>
      <c r="J32" s="82" t="s">
        <v>657</v>
      </c>
      <c r="K32" s="82"/>
      <c r="L32" s="82"/>
      <c r="M32" s="82"/>
      <c r="N32" s="82"/>
      <c r="O32" s="82"/>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t="s">
        <v>658</v>
      </c>
      <c r="C33" s="82">
        <f>J7</f>
        <v>12</v>
      </c>
      <c r="D33" s="82">
        <f t="shared" ref="D33:G33" si="0">K7</f>
        <v>24</v>
      </c>
      <c r="E33" s="82">
        <f t="shared" si="0"/>
        <v>36</v>
      </c>
      <c r="F33" s="82">
        <f t="shared" si="0"/>
        <v>48</v>
      </c>
      <c r="G33" s="82">
        <f t="shared" si="0"/>
        <v>60</v>
      </c>
      <c r="H33" s="82"/>
      <c r="I33" s="82" t="s">
        <v>658</v>
      </c>
      <c r="J33" s="82">
        <f>J7</f>
        <v>12</v>
      </c>
      <c r="K33" s="82">
        <f t="shared" ref="K33:M33" si="1">K7</f>
        <v>24</v>
      </c>
      <c r="L33" s="82">
        <f t="shared" si="1"/>
        <v>36</v>
      </c>
      <c r="M33" s="82">
        <f t="shared" si="1"/>
        <v>48</v>
      </c>
      <c r="N33" s="82">
        <f>N7</f>
        <v>60</v>
      </c>
      <c r="O33" s="82"/>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f>I8</f>
        <v>2013</v>
      </c>
      <c r="C34" s="82">
        <f>J8/J16</f>
        <v>0.33333333333333331</v>
      </c>
      <c r="D34" s="82">
        <f t="shared" ref="D34:G37" si="2">K8/K16</f>
        <v>0.44444444444444442</v>
      </c>
      <c r="E34" s="82">
        <f t="shared" si="2"/>
        <v>0.48214285714285715</v>
      </c>
      <c r="F34" s="82">
        <f t="shared" si="2"/>
        <v>0.46551724137931033</v>
      </c>
      <c r="G34" s="82">
        <f t="shared" si="2"/>
        <v>0.47619047619047616</v>
      </c>
      <c r="H34" s="82"/>
      <c r="I34" s="82">
        <f>I8</f>
        <v>2013</v>
      </c>
      <c r="J34" s="82">
        <f>J8/C8</f>
        <v>4</v>
      </c>
      <c r="K34" s="82">
        <f t="shared" ref="K34:N37" si="3">K8/D8</f>
        <v>1.0909090909090908</v>
      </c>
      <c r="L34" s="82">
        <f t="shared" si="3"/>
        <v>1.0384615384615385</v>
      </c>
      <c r="M34" s="82">
        <f t="shared" si="3"/>
        <v>1.0074626865671641</v>
      </c>
      <c r="N34" s="82">
        <f t="shared" si="3"/>
        <v>1.0144927536231885</v>
      </c>
      <c r="O34" s="82"/>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f t="shared" ref="B35:B38" si="4">I9</f>
        <v>2014</v>
      </c>
      <c r="C35" s="82">
        <f t="shared" ref="C35:C38" si="5">J9/J17</f>
        <v>0.39745627980922099</v>
      </c>
      <c r="D35" s="82">
        <f t="shared" si="2"/>
        <v>0.61594202898550721</v>
      </c>
      <c r="E35" s="82">
        <f t="shared" si="2"/>
        <v>0.61352112676056336</v>
      </c>
      <c r="F35" s="82">
        <f t="shared" si="2"/>
        <v>0.60621000000000003</v>
      </c>
      <c r="G35" s="82"/>
      <c r="H35" s="82"/>
      <c r="I35" s="82">
        <f t="shared" ref="I35:I38" si="6">I9</f>
        <v>2014</v>
      </c>
      <c r="J35" s="82">
        <f t="shared" ref="J35:J38" si="7">J9/C9</f>
        <v>2.7777777777777777</v>
      </c>
      <c r="K35" s="82">
        <f t="shared" si="3"/>
        <v>1.0625</v>
      </c>
      <c r="L35" s="82">
        <f t="shared" si="3"/>
        <v>1.0249411764705882</v>
      </c>
      <c r="M35" s="82">
        <f t="shared" si="3"/>
        <v>1.0150493023255813</v>
      </c>
      <c r="N35" s="82"/>
      <c r="O35" s="82"/>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f t="shared" si="4"/>
        <v>2015</v>
      </c>
      <c r="C36" s="82">
        <f t="shared" si="5"/>
        <v>0.45600000000000002</v>
      </c>
      <c r="D36" s="82">
        <f t="shared" si="2"/>
        <v>0.74890510948905109</v>
      </c>
      <c r="E36" s="82">
        <f t="shared" si="2"/>
        <v>0.81481481481481477</v>
      </c>
      <c r="F36" s="82"/>
      <c r="G36" s="82"/>
      <c r="H36" s="82"/>
      <c r="I36" s="82">
        <f t="shared" si="6"/>
        <v>2015</v>
      </c>
      <c r="J36" s="82">
        <f t="shared" si="7"/>
        <v>2.1111111111111112</v>
      </c>
      <c r="K36" s="82">
        <f t="shared" si="3"/>
        <v>1.046938775510204</v>
      </c>
      <c r="L36" s="82">
        <f t="shared" si="3"/>
        <v>1.0476190476190477</v>
      </c>
      <c r="M36" s="82"/>
      <c r="N36" s="82"/>
      <c r="O36" s="82"/>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f t="shared" si="4"/>
        <v>2016</v>
      </c>
      <c r="C37" s="82">
        <f t="shared" si="5"/>
        <v>0.5</v>
      </c>
      <c r="D37" s="82">
        <f t="shared" si="2"/>
        <v>0.69767441860465118</v>
      </c>
      <c r="E37" s="82"/>
      <c r="F37" s="82"/>
      <c r="G37" s="82"/>
      <c r="H37" s="82"/>
      <c r="I37" s="82">
        <f t="shared" si="6"/>
        <v>2016</v>
      </c>
      <c r="J37" s="82">
        <f t="shared" si="7"/>
        <v>2.1666666666666665</v>
      </c>
      <c r="K37" s="82">
        <f t="shared" si="3"/>
        <v>1.125</v>
      </c>
      <c r="L37" s="82"/>
      <c r="M37" s="82"/>
      <c r="N37" s="82"/>
      <c r="O37" s="82"/>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f t="shared" si="4"/>
        <v>2017</v>
      </c>
      <c r="C38" s="82">
        <f t="shared" si="5"/>
        <v>0.68376068376068377</v>
      </c>
      <c r="D38" s="82"/>
      <c r="E38" s="82"/>
      <c r="F38" s="82"/>
      <c r="G38" s="82"/>
      <c r="H38" s="82"/>
      <c r="I38" s="82">
        <f t="shared" si="6"/>
        <v>2017</v>
      </c>
      <c r="J38" s="82">
        <f t="shared" si="7"/>
        <v>2.6666666666666665</v>
      </c>
      <c r="K38" s="82"/>
      <c r="L38" s="82"/>
      <c r="M38" s="82"/>
      <c r="N38" s="82"/>
      <c r="O38" s="82"/>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82"/>
      <c r="H39" s="82"/>
      <c r="I39" s="82"/>
      <c r="J39" s="82"/>
      <c r="K39" s="82"/>
      <c r="L39" s="82"/>
      <c r="M39" s="82"/>
      <c r="N39" s="82"/>
      <c r="O39" s="82"/>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t="s">
        <v>659</v>
      </c>
      <c r="C40" s="82"/>
      <c r="D40" s="82"/>
      <c r="E40" s="82"/>
      <c r="F40" s="82"/>
      <c r="G40" s="82"/>
      <c r="H40" s="82"/>
      <c r="I40" s="82"/>
      <c r="J40" s="82"/>
      <c r="K40" s="82"/>
      <c r="L40" s="82"/>
      <c r="M40" s="82"/>
      <c r="N40" s="82"/>
      <c r="O40" s="82"/>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t="s">
        <v>660</v>
      </c>
      <c r="C41" s="82"/>
      <c r="D41" s="82"/>
      <c r="E41" s="82"/>
      <c r="F41" s="82"/>
      <c r="G41" s="82"/>
      <c r="H41" s="82"/>
      <c r="I41" s="82"/>
      <c r="J41" s="82"/>
      <c r="K41" s="82"/>
      <c r="L41" s="82"/>
      <c r="M41" s="82"/>
      <c r="N41" s="82"/>
      <c r="O41" s="82"/>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82"/>
      <c r="J42" s="82"/>
      <c r="K42" s="82"/>
      <c r="L42" s="82"/>
      <c r="M42" s="82"/>
      <c r="N42" s="82"/>
      <c r="O42" s="82"/>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t="s">
        <v>661</v>
      </c>
      <c r="C43" s="82" t="s">
        <v>662</v>
      </c>
      <c r="D43" s="82"/>
      <c r="E43" s="82"/>
      <c r="F43" s="82"/>
      <c r="G43" s="82"/>
      <c r="H43" s="82"/>
      <c r="I43" s="82"/>
      <c r="J43" s="82"/>
      <c r="K43" s="82" t="s">
        <v>663</v>
      </c>
      <c r="L43" s="82"/>
      <c r="M43" s="82"/>
      <c r="N43" s="82"/>
      <c r="O43" s="82"/>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t="s">
        <v>658</v>
      </c>
      <c r="C44" s="82">
        <f>C33</f>
        <v>12</v>
      </c>
      <c r="D44" s="82">
        <f t="shared" ref="D44:G44" si="8">D33</f>
        <v>24</v>
      </c>
      <c r="E44" s="82">
        <f t="shared" si="8"/>
        <v>36</v>
      </c>
      <c r="F44" s="82">
        <f t="shared" si="8"/>
        <v>48</v>
      </c>
      <c r="G44" s="82">
        <f t="shared" si="8"/>
        <v>60</v>
      </c>
      <c r="H44" s="82"/>
      <c r="I44" s="82"/>
      <c r="J44" s="82" t="s">
        <v>658</v>
      </c>
      <c r="K44" s="82">
        <f>J33</f>
        <v>12</v>
      </c>
      <c r="L44" s="82">
        <f t="shared" ref="L44:O44" si="9">K33</f>
        <v>24</v>
      </c>
      <c r="M44" s="82">
        <f t="shared" si="9"/>
        <v>36</v>
      </c>
      <c r="N44" s="82">
        <f t="shared" si="9"/>
        <v>48</v>
      </c>
      <c r="O44" s="82">
        <f t="shared" si="9"/>
        <v>60</v>
      </c>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f>B8</f>
        <v>2013</v>
      </c>
      <c r="C45" s="82">
        <f>C8/C16</f>
        <v>0.1388888888888889</v>
      </c>
      <c r="D45" s="82">
        <f t="shared" ref="D45:G46" si="10">D8/D16</f>
        <v>0.45267489711934156</v>
      </c>
      <c r="E45" s="82">
        <f t="shared" si="10"/>
        <v>0.48872180451127817</v>
      </c>
      <c r="F45" s="82">
        <f t="shared" si="10"/>
        <v>0.47149894440534834</v>
      </c>
      <c r="G45" s="82">
        <f t="shared" si="10"/>
        <v>0.47098976109215018</v>
      </c>
      <c r="H45" s="82"/>
      <c r="I45" s="82"/>
      <c r="J45" s="82">
        <f>I34</f>
        <v>2013</v>
      </c>
      <c r="K45" s="82">
        <f>C16/J16</f>
        <v>0.6</v>
      </c>
      <c r="L45" s="82">
        <f t="shared" ref="L45:O48" si="11">D16/K16</f>
        <v>0.9</v>
      </c>
      <c r="M45" s="82">
        <f t="shared" si="11"/>
        <v>0.95</v>
      </c>
      <c r="N45" s="82">
        <f t="shared" si="11"/>
        <v>0.98</v>
      </c>
      <c r="O45" s="82">
        <f t="shared" si="11"/>
        <v>0.99659863945578231</v>
      </c>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f t="shared" ref="B46:B49" si="12">B9</f>
        <v>2014</v>
      </c>
      <c r="C46" s="82">
        <f t="shared" ref="C46:E49" si="13">C9/C17</f>
        <v>0.23841059602649006</v>
      </c>
      <c r="D46" s="82">
        <f t="shared" si="13"/>
        <v>0.64412238325281801</v>
      </c>
      <c r="E46" s="82">
        <f t="shared" si="13"/>
        <v>0.63009636767976274</v>
      </c>
      <c r="F46" s="82">
        <f t="shared" si="10"/>
        <v>0.60097833682739343</v>
      </c>
      <c r="G46" s="82"/>
      <c r="H46" s="82"/>
      <c r="I46" s="82"/>
      <c r="J46" s="82">
        <f t="shared" ref="J46:J49" si="14">I35</f>
        <v>2014</v>
      </c>
      <c r="K46" s="82">
        <f t="shared" ref="K46:K49" si="15">C17/J17</f>
        <v>0.60015898251192368</v>
      </c>
      <c r="L46" s="82">
        <f t="shared" si="11"/>
        <v>0.9</v>
      </c>
      <c r="M46" s="82">
        <f t="shared" si="11"/>
        <v>0.95</v>
      </c>
      <c r="N46" s="82">
        <f t="shared" si="11"/>
        <v>0.99375000000000002</v>
      </c>
      <c r="O46" s="82"/>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f t="shared" si="12"/>
        <v>2015</v>
      </c>
      <c r="C47" s="82">
        <f t="shared" si="13"/>
        <v>0.36</v>
      </c>
      <c r="D47" s="82">
        <f t="shared" si="13"/>
        <v>0.79480940794809407</v>
      </c>
      <c r="E47" s="82">
        <f t="shared" si="13"/>
        <v>0.78947368421052633</v>
      </c>
      <c r="F47" s="82"/>
      <c r="G47" s="82"/>
      <c r="H47" s="82"/>
      <c r="I47" s="82"/>
      <c r="J47" s="82">
        <f t="shared" si="14"/>
        <v>2015</v>
      </c>
      <c r="K47" s="82">
        <f t="shared" si="15"/>
        <v>0.6</v>
      </c>
      <c r="L47" s="82">
        <f t="shared" si="11"/>
        <v>0.9</v>
      </c>
      <c r="M47" s="82">
        <f t="shared" si="11"/>
        <v>0.98518518518518516</v>
      </c>
      <c r="N47" s="82"/>
      <c r="O47" s="82"/>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f t="shared" si="12"/>
        <v>2016</v>
      </c>
      <c r="C48" s="82">
        <f t="shared" si="13"/>
        <v>0.38461538461538464</v>
      </c>
      <c r="D48" s="82">
        <f t="shared" si="13"/>
        <v>0.65843621399176955</v>
      </c>
      <c r="E48" s="82"/>
      <c r="F48" s="82"/>
      <c r="G48" s="82"/>
      <c r="H48" s="82"/>
      <c r="I48" s="82"/>
      <c r="J48" s="82">
        <f t="shared" si="14"/>
        <v>2016</v>
      </c>
      <c r="K48" s="82">
        <f t="shared" si="15"/>
        <v>0.6</v>
      </c>
      <c r="L48" s="82">
        <f t="shared" si="11"/>
        <v>0.94186046511627908</v>
      </c>
      <c r="M48" s="82"/>
      <c r="N48" s="82"/>
      <c r="O48" s="82"/>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f t="shared" si="12"/>
        <v>2017</v>
      </c>
      <c r="C49" s="82">
        <f t="shared" si="13"/>
        <v>0.37037037037037035</v>
      </c>
      <c r="D49" s="82"/>
      <c r="E49" s="82"/>
      <c r="F49" s="82"/>
      <c r="G49" s="82"/>
      <c r="H49" s="82"/>
      <c r="I49" s="82"/>
      <c r="J49" s="82">
        <f t="shared" si="14"/>
        <v>2017</v>
      </c>
      <c r="K49" s="82">
        <f t="shared" si="15"/>
        <v>0.69230769230769229</v>
      </c>
      <c r="L49" s="82"/>
      <c r="M49" s="82"/>
      <c r="N49" s="82"/>
      <c r="O49" s="82"/>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82"/>
      <c r="K50" s="82"/>
      <c r="L50" s="82"/>
      <c r="M50" s="82"/>
      <c r="N50" s="82"/>
      <c r="O50" s="82"/>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t="s">
        <v>664</v>
      </c>
      <c r="C51" s="82"/>
      <c r="D51" s="82"/>
      <c r="E51" s="82"/>
      <c r="F51" s="82"/>
      <c r="G51" s="82"/>
      <c r="H51" s="82"/>
      <c r="I51" s="82"/>
      <c r="J51" s="82"/>
      <c r="K51" s="82"/>
      <c r="L51" s="82"/>
      <c r="M51" s="82"/>
      <c r="N51" s="82"/>
      <c r="O51" s="82"/>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t="s">
        <v>665</v>
      </c>
      <c r="C52" s="82"/>
      <c r="D52" s="82"/>
      <c r="E52" s="82"/>
      <c r="F52" s="82"/>
      <c r="G52" s="82"/>
      <c r="H52" s="82"/>
      <c r="I52" s="82"/>
      <c r="J52" s="82"/>
      <c r="K52" s="82"/>
      <c r="L52" s="82"/>
      <c r="M52" s="82"/>
      <c r="N52" s="82"/>
      <c r="O52" s="82"/>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82"/>
      <c r="K53" s="82"/>
      <c r="L53" s="82"/>
      <c r="M53" s="82"/>
      <c r="N53" s="82"/>
      <c r="O53" s="82"/>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t="s">
        <v>21</v>
      </c>
      <c r="C54" s="82"/>
      <c r="D54" s="82"/>
      <c r="E54" s="82"/>
      <c r="F54" s="82"/>
      <c r="G54" s="82"/>
      <c r="H54" s="82"/>
      <c r="I54" s="82"/>
      <c r="J54" s="82"/>
      <c r="K54" s="82"/>
      <c r="L54" s="82"/>
      <c r="M54" s="82"/>
      <c r="N54" s="82"/>
      <c r="O54" s="82"/>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t="s">
        <v>666</v>
      </c>
      <c r="C55" s="82"/>
      <c r="D55" s="82"/>
      <c r="E55" s="82"/>
      <c r="F55" s="82"/>
      <c r="G55" s="82"/>
      <c r="H55" s="82"/>
      <c r="I55" s="82"/>
      <c r="J55" s="82"/>
      <c r="K55" s="82"/>
      <c r="L55" s="82"/>
      <c r="M55" s="82"/>
      <c r="N55" s="82"/>
      <c r="O55" s="82"/>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t="s">
        <v>667</v>
      </c>
      <c r="C56" s="82"/>
      <c r="D56" s="82"/>
      <c r="E56" s="82"/>
      <c r="F56" s="82"/>
      <c r="G56" s="82"/>
      <c r="H56" s="82"/>
      <c r="I56" s="82"/>
      <c r="J56" s="82"/>
      <c r="K56" s="82"/>
      <c r="L56" s="82"/>
      <c r="M56" s="82"/>
      <c r="N56" s="82"/>
      <c r="O56" s="82"/>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82"/>
      <c r="K57" s="82"/>
      <c r="L57" s="82"/>
      <c r="M57" s="82"/>
      <c r="N57" s="82"/>
      <c r="O57" s="82"/>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82"/>
      <c r="K58" s="82"/>
      <c r="L58" s="82"/>
      <c r="M58" s="82"/>
      <c r="N58" s="82"/>
      <c r="O58" s="82"/>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82"/>
      <c r="K59" s="82"/>
      <c r="L59" s="82"/>
      <c r="M59" s="82"/>
      <c r="N59" s="82"/>
      <c r="O59" s="82"/>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82"/>
      <c r="K60" s="82"/>
      <c r="L60" s="82"/>
      <c r="M60" s="82"/>
      <c r="N60" s="82"/>
      <c r="O60" s="82"/>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56" firstPageNumber="0" orientation="portrait"/>
  <headerFooter alignWithMargins="0">
    <oddHeader>&amp;CSpring 2018 Exam 5 Make-Up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Z200"/>
  <sheetViews>
    <sheetView zoomScaleNormal="100" workbookViewId="0">
      <pane ySplit="1" topLeftCell="A2" activePane="bottomLeft" state="frozen"/>
      <selection pane="bottomLeft" activeCell="H2" sqref="H2"/>
    </sheetView>
  </sheetViews>
  <sheetFormatPr defaultColWidth="0" defaultRowHeight="0" customHeight="1" zeroHeight="1" x14ac:dyDescent="0.25"/>
  <cols>
    <col min="1" max="4" width="12.5" style="37" customWidth="1"/>
    <col min="5" max="49" width="9.375" style="37" customWidth="1"/>
    <col min="50" max="16384" width="9.375" style="37" hidden="1"/>
  </cols>
  <sheetData>
    <row r="1" spans="1:52" ht="15.75" customHeight="1" thickBot="1" x14ac:dyDescent="0.3">
      <c r="A1" s="1">
        <v>21</v>
      </c>
      <c r="B1" s="2"/>
      <c r="C1" s="283"/>
      <c r="D1" s="283"/>
      <c r="E1" s="283"/>
      <c r="F1" s="283"/>
      <c r="G1" s="284"/>
      <c r="H1" s="79"/>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94.5" customHeight="1" x14ac:dyDescent="0.25">
      <c r="A2" s="713" t="s">
        <v>0</v>
      </c>
      <c r="B2" s="285"/>
      <c r="C2" s="285"/>
      <c r="D2" s="285"/>
      <c r="E2" s="285"/>
      <c r="F2" s="285"/>
      <c r="G2" s="286"/>
      <c r="H2" s="79"/>
      <c r="I2" s="1209" t="s">
        <v>861</v>
      </c>
      <c r="J2" s="1209"/>
      <c r="K2" s="1209"/>
      <c r="L2" s="1209"/>
      <c r="M2" s="1209"/>
      <c r="N2" s="1209"/>
      <c r="O2" s="1209"/>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2.75</v>
      </c>
      <c r="B3" s="39"/>
      <c r="C3" s="285"/>
      <c r="D3" s="285"/>
      <c r="E3" s="285"/>
      <c r="F3" s="285"/>
      <c r="G3" s="286"/>
      <c r="H3" s="79"/>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714"/>
      <c r="B4" s="285" t="s">
        <v>414</v>
      </c>
      <c r="C4" s="715"/>
      <c r="D4" s="715"/>
      <c r="E4" s="715"/>
      <c r="F4" s="715"/>
      <c r="G4" s="716"/>
      <c r="H4" s="79"/>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714"/>
      <c r="B5" s="285"/>
      <c r="C5" s="285"/>
      <c r="D5" s="285"/>
      <c r="E5" s="285"/>
      <c r="F5" s="285"/>
      <c r="G5" s="286"/>
      <c r="H5" s="79"/>
      <c r="I5" s="36" t="s">
        <v>668</v>
      </c>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thickBot="1" x14ac:dyDescent="0.3">
      <c r="A6" s="714"/>
      <c r="B6" s="215" t="s">
        <v>135</v>
      </c>
      <c r="C6" s="639" t="s">
        <v>569</v>
      </c>
      <c r="D6" s="639"/>
      <c r="E6" s="639"/>
      <c r="F6" s="640"/>
      <c r="G6" s="286"/>
      <c r="H6" s="79"/>
      <c r="I6" s="36" t="s">
        <v>61</v>
      </c>
      <c r="J6" s="452" t="s">
        <v>183</v>
      </c>
      <c r="K6" s="452" t="s">
        <v>184</v>
      </c>
      <c r="L6" s="452" t="s">
        <v>587</v>
      </c>
      <c r="M6" s="452" t="s">
        <v>560</v>
      </c>
      <c r="N6" s="36"/>
      <c r="O6" s="36" t="s">
        <v>669</v>
      </c>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thickBot="1" x14ac:dyDescent="0.3">
      <c r="A7" s="714"/>
      <c r="B7" s="219" t="s">
        <v>83</v>
      </c>
      <c r="C7" s="641">
        <v>12</v>
      </c>
      <c r="D7" s="641">
        <v>24</v>
      </c>
      <c r="E7" s="641">
        <v>36</v>
      </c>
      <c r="F7" s="642">
        <v>48</v>
      </c>
      <c r="G7" s="286"/>
      <c r="H7" s="79"/>
      <c r="I7" s="643">
        <v>2014</v>
      </c>
      <c r="J7" s="440">
        <f>D8/C8</f>
        <v>2.7692307692307692</v>
      </c>
      <c r="K7" s="440">
        <f>E8/D8</f>
        <v>1.6944444444444444</v>
      </c>
      <c r="L7" s="440">
        <f>F8/E8</f>
        <v>1.278688524590164</v>
      </c>
      <c r="M7" s="440"/>
      <c r="N7" s="36"/>
      <c r="O7" s="36"/>
      <c r="P7" s="36">
        <f>B32/F15</f>
        <v>1</v>
      </c>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714"/>
      <c r="B8" s="643">
        <v>2014</v>
      </c>
      <c r="C8" s="644">
        <v>13</v>
      </c>
      <c r="D8" s="645">
        <v>36</v>
      </c>
      <c r="E8" s="645">
        <v>61</v>
      </c>
      <c r="F8" s="646">
        <v>78</v>
      </c>
      <c r="G8" s="717"/>
      <c r="H8" s="718"/>
      <c r="I8" s="647">
        <v>2015</v>
      </c>
      <c r="J8" s="440">
        <f>D9/C9</f>
        <v>2.8333333333333335</v>
      </c>
      <c r="K8" s="440">
        <f>E9/D9</f>
        <v>2.0294117647058822</v>
      </c>
      <c r="L8" s="440"/>
      <c r="M8" s="440"/>
      <c r="N8" s="36"/>
      <c r="O8" s="36" t="s">
        <v>670</v>
      </c>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714"/>
      <c r="B9" s="647">
        <v>2015</v>
      </c>
      <c r="C9" s="648">
        <v>12</v>
      </c>
      <c r="D9" s="649">
        <v>34</v>
      </c>
      <c r="E9" s="649">
        <v>69</v>
      </c>
      <c r="F9" s="61"/>
      <c r="G9" s="719"/>
      <c r="H9" s="720"/>
      <c r="I9" s="647">
        <v>2016</v>
      </c>
      <c r="J9" s="440">
        <f>D10/C10</f>
        <v>2.9230769230769229</v>
      </c>
      <c r="K9" s="440"/>
      <c r="L9" s="440"/>
      <c r="M9" s="440"/>
      <c r="N9" s="36"/>
      <c r="O9" s="36"/>
      <c r="P9" s="36"/>
      <c r="Q9" s="36"/>
      <c r="R9" s="36"/>
      <c r="S9" s="452"/>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thickBot="1" x14ac:dyDescent="0.3">
      <c r="A10" s="714"/>
      <c r="B10" s="647">
        <v>2016</v>
      </c>
      <c r="C10" s="648">
        <v>13</v>
      </c>
      <c r="D10" s="649">
        <v>38</v>
      </c>
      <c r="E10" s="649"/>
      <c r="F10" s="61"/>
      <c r="G10" s="719"/>
      <c r="H10" s="720"/>
      <c r="I10" s="650"/>
      <c r="J10" s="440">
        <f>AVERAGE(J7:J9)</f>
        <v>2.841880341880342</v>
      </c>
      <c r="K10" s="440">
        <f>AVERAGE(K7:K9)</f>
        <v>1.8619281045751634</v>
      </c>
      <c r="L10" s="440">
        <f>AVERAGE(L7:L9)</f>
        <v>1.278688524590164</v>
      </c>
      <c r="M10" s="440"/>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thickBot="1" x14ac:dyDescent="0.3">
      <c r="A11" s="714"/>
      <c r="B11" s="650">
        <v>2017</v>
      </c>
      <c r="C11" s="651">
        <v>18</v>
      </c>
      <c r="D11" s="652"/>
      <c r="E11" s="652"/>
      <c r="F11" s="653"/>
      <c r="G11" s="719"/>
      <c r="H11" s="720"/>
      <c r="I11" s="36"/>
      <c r="J11" s="440">
        <f>J10*K11</f>
        <v>6.7660228936747746</v>
      </c>
      <c r="K11" s="440">
        <f>K10*L11</f>
        <v>2.3808261009321763</v>
      </c>
      <c r="L11" s="440">
        <f>L10*M11</f>
        <v>1.278688524590164</v>
      </c>
      <c r="M11" s="440">
        <v>1</v>
      </c>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714"/>
      <c r="B12" s="722"/>
      <c r="C12" s="427"/>
      <c r="D12" s="723"/>
      <c r="E12" s="723"/>
      <c r="F12" s="723"/>
      <c r="G12" s="286"/>
      <c r="H12" s="79"/>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thickBot="1" x14ac:dyDescent="0.3">
      <c r="A13" s="714"/>
      <c r="B13" s="215" t="s">
        <v>135</v>
      </c>
      <c r="C13" s="639" t="s">
        <v>673</v>
      </c>
      <c r="D13" s="639"/>
      <c r="E13" s="639"/>
      <c r="F13" s="640"/>
      <c r="G13" s="286"/>
      <c r="H13" s="79"/>
      <c r="I13" s="36" t="s">
        <v>61</v>
      </c>
      <c r="J13" s="36" t="s">
        <v>671</v>
      </c>
      <c r="K13" s="36" t="s">
        <v>162</v>
      </c>
      <c r="L13" s="36" t="s">
        <v>672</v>
      </c>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thickBot="1" x14ac:dyDescent="0.3">
      <c r="A14" s="714"/>
      <c r="B14" s="219" t="s">
        <v>83</v>
      </c>
      <c r="C14" s="641">
        <v>12</v>
      </c>
      <c r="D14" s="641">
        <v>24</v>
      </c>
      <c r="E14" s="641">
        <v>36</v>
      </c>
      <c r="F14" s="642">
        <v>48</v>
      </c>
      <c r="G14" s="286"/>
      <c r="H14" s="79"/>
      <c r="I14" s="643">
        <v>2014</v>
      </c>
      <c r="J14" s="659">
        <f>F8</f>
        <v>78</v>
      </c>
      <c r="K14" s="721">
        <f>M11</f>
        <v>1</v>
      </c>
      <c r="L14" s="508">
        <f>J14*K14</f>
        <v>78</v>
      </c>
      <c r="M14" s="36"/>
      <c r="N14" s="132"/>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714"/>
      <c r="B15" s="643">
        <v>2014</v>
      </c>
      <c r="C15" s="644">
        <v>820</v>
      </c>
      <c r="D15" s="645">
        <v>2050</v>
      </c>
      <c r="E15" s="645">
        <v>3280</v>
      </c>
      <c r="F15" s="646">
        <v>4100</v>
      </c>
      <c r="G15" s="286"/>
      <c r="H15" s="79"/>
      <c r="I15" s="647">
        <v>2015</v>
      </c>
      <c r="J15" s="84">
        <f>E9</f>
        <v>69</v>
      </c>
      <c r="K15" s="721">
        <f>L11</f>
        <v>1.278688524590164</v>
      </c>
      <c r="L15" s="508">
        <f t="shared" ref="L15:L17" si="0">J15*K15</f>
        <v>88.229508196721312</v>
      </c>
      <c r="M15" s="36"/>
      <c r="N15" s="132"/>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714"/>
      <c r="B16" s="647">
        <v>2015</v>
      </c>
      <c r="C16" s="648">
        <v>780</v>
      </c>
      <c r="D16" s="649">
        <v>1950</v>
      </c>
      <c r="E16" s="649">
        <v>3120</v>
      </c>
      <c r="F16" s="61"/>
      <c r="G16" s="286"/>
      <c r="H16" s="79"/>
      <c r="I16" s="647">
        <v>2016</v>
      </c>
      <c r="J16" s="84">
        <f>D10</f>
        <v>38</v>
      </c>
      <c r="K16" s="721">
        <f>K11</f>
        <v>2.3808261009321763</v>
      </c>
      <c r="L16" s="508">
        <f t="shared" si="0"/>
        <v>90.471391835422693</v>
      </c>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thickBot="1" x14ac:dyDescent="0.3">
      <c r="A17" s="714"/>
      <c r="B17" s="647">
        <v>2016</v>
      </c>
      <c r="C17" s="648">
        <v>760</v>
      </c>
      <c r="D17" s="649">
        <v>1900</v>
      </c>
      <c r="E17" s="649"/>
      <c r="F17" s="61"/>
      <c r="G17" s="286"/>
      <c r="H17" s="79"/>
      <c r="I17" s="650">
        <v>2017</v>
      </c>
      <c r="J17" s="84">
        <f>C11</f>
        <v>18</v>
      </c>
      <c r="K17" s="721">
        <f>J11</f>
        <v>6.7660228936747746</v>
      </c>
      <c r="L17" s="508">
        <f t="shared" si="0"/>
        <v>121.78841208614594</v>
      </c>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thickBot="1" x14ac:dyDescent="0.3">
      <c r="A18" s="714"/>
      <c r="B18" s="650">
        <v>2017</v>
      </c>
      <c r="C18" s="651">
        <v>810</v>
      </c>
      <c r="D18" s="652"/>
      <c r="E18" s="652"/>
      <c r="F18" s="653"/>
      <c r="G18" s="286"/>
      <c r="H18" s="79"/>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thickBot="1" x14ac:dyDescent="0.3">
      <c r="A19" s="714"/>
      <c r="B19" s="427"/>
      <c r="C19" s="725"/>
      <c r="D19" s="725"/>
      <c r="E19" s="725"/>
      <c r="F19" s="725"/>
      <c r="G19" s="286"/>
      <c r="H19" s="79"/>
      <c r="I19" s="36" t="s">
        <v>582</v>
      </c>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thickBot="1" x14ac:dyDescent="0.3">
      <c r="A20" s="714"/>
      <c r="B20" s="215" t="s">
        <v>135</v>
      </c>
      <c r="C20" s="639" t="s">
        <v>675</v>
      </c>
      <c r="D20" s="639"/>
      <c r="E20" s="639"/>
      <c r="F20" s="640"/>
      <c r="G20" s="286"/>
      <c r="H20" s="79"/>
      <c r="I20" s="219" t="s">
        <v>83</v>
      </c>
      <c r="J20" s="641">
        <v>12</v>
      </c>
      <c r="K20" s="641">
        <v>24</v>
      </c>
      <c r="L20" s="641">
        <v>36</v>
      </c>
      <c r="M20" s="642">
        <v>48</v>
      </c>
      <c r="N20" s="36"/>
      <c r="O20" s="36" t="s">
        <v>674</v>
      </c>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thickBot="1" x14ac:dyDescent="0.3">
      <c r="A21" s="714"/>
      <c r="B21" s="219" t="s">
        <v>83</v>
      </c>
      <c r="C21" s="641">
        <v>12</v>
      </c>
      <c r="D21" s="641">
        <v>24</v>
      </c>
      <c r="E21" s="641">
        <v>36</v>
      </c>
      <c r="F21" s="642">
        <v>48</v>
      </c>
      <c r="G21" s="286"/>
      <c r="H21" s="79"/>
      <c r="I21" s="643">
        <v>2014</v>
      </c>
      <c r="J21" s="724">
        <f>C8/$L14</f>
        <v>0.16666666666666666</v>
      </c>
      <c r="K21" s="724">
        <f>D8/$L14</f>
        <v>0.46153846153846156</v>
      </c>
      <c r="L21" s="724">
        <f>E8/$L14</f>
        <v>0.78205128205128205</v>
      </c>
      <c r="M21" s="724">
        <f>F8/$L14</f>
        <v>1</v>
      </c>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thickBot="1" x14ac:dyDescent="0.3">
      <c r="A22" s="714"/>
      <c r="B22" s="643">
        <v>2014</v>
      </c>
      <c r="C22" s="644"/>
      <c r="D22" s="645">
        <v>489</v>
      </c>
      <c r="E22" s="645">
        <v>1042</v>
      </c>
      <c r="F22" s="646">
        <v>1473</v>
      </c>
      <c r="G22" s="286"/>
      <c r="H22" s="79"/>
      <c r="I22" s="647">
        <v>2015</v>
      </c>
      <c r="J22" s="724">
        <f>C9/$L15</f>
        <v>0.13600891861761427</v>
      </c>
      <c r="K22" s="724">
        <f>D9/$L15</f>
        <v>0.38535860274990708</v>
      </c>
      <c r="L22" s="724">
        <f>E9/$L15</f>
        <v>0.78205128205128205</v>
      </c>
      <c r="M22" s="72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thickBot="1" x14ac:dyDescent="0.3">
      <c r="A23" s="714"/>
      <c r="B23" s="647">
        <v>2015</v>
      </c>
      <c r="C23" s="648"/>
      <c r="D23" s="649">
        <v>473</v>
      </c>
      <c r="E23" s="649">
        <v>1235</v>
      </c>
      <c r="F23" s="61"/>
      <c r="G23" s="286"/>
      <c r="H23" s="79"/>
      <c r="I23" s="647">
        <v>2016</v>
      </c>
      <c r="J23" s="724">
        <f>C10/$L16</f>
        <v>0.14369183159742269</v>
      </c>
      <c r="K23" s="724">
        <f>D10/$L16</f>
        <v>0.42002227697708172</v>
      </c>
      <c r="L23" s="727"/>
      <c r="M23" s="72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thickBot="1" x14ac:dyDescent="0.3">
      <c r="A24" s="714"/>
      <c r="B24" s="650">
        <v>2016</v>
      </c>
      <c r="C24" s="651"/>
      <c r="D24" s="652">
        <v>472</v>
      </c>
      <c r="E24" s="652"/>
      <c r="F24" s="653"/>
      <c r="G24" s="286"/>
      <c r="H24" s="79"/>
      <c r="I24" s="650">
        <v>2017</v>
      </c>
      <c r="J24" s="724">
        <f>C11/$L17</f>
        <v>0.1477973125002062</v>
      </c>
      <c r="K24" s="728"/>
      <c r="L24" s="728"/>
      <c r="M24" s="729"/>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thickBot="1" x14ac:dyDescent="0.3">
      <c r="A25" s="714"/>
      <c r="B25" s="427"/>
      <c r="C25" s="725"/>
      <c r="D25" s="725"/>
      <c r="E25" s="725"/>
      <c r="F25" s="725"/>
      <c r="G25" s="286"/>
      <c r="H25" s="79"/>
      <c r="I25" s="36" t="s">
        <v>287</v>
      </c>
      <c r="J25" s="730">
        <f>J24</f>
        <v>0.1477973125002062</v>
      </c>
      <c r="K25" s="730">
        <f>K23</f>
        <v>0.42002227697708172</v>
      </c>
      <c r="L25" s="730">
        <f>L22</f>
        <v>0.78205128205128205</v>
      </c>
      <c r="M25" s="730">
        <f>M21</f>
        <v>1</v>
      </c>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714"/>
      <c r="B26" s="215" t="s">
        <v>135</v>
      </c>
      <c r="C26" s="639" t="s">
        <v>677</v>
      </c>
      <c r="D26" s="639"/>
      <c r="E26" s="639"/>
      <c r="F26" s="640"/>
      <c r="G26" s="286"/>
      <c r="H26" s="79"/>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thickBot="1" x14ac:dyDescent="0.3">
      <c r="A27" s="714"/>
      <c r="B27" s="219" t="s">
        <v>83</v>
      </c>
      <c r="C27" s="641">
        <v>12</v>
      </c>
      <c r="D27" s="641">
        <v>24</v>
      </c>
      <c r="E27" s="641">
        <v>36</v>
      </c>
      <c r="F27" s="642">
        <v>48</v>
      </c>
      <c r="G27" s="286"/>
      <c r="H27" s="79"/>
      <c r="I27" s="36" t="s">
        <v>676</v>
      </c>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thickBot="1" x14ac:dyDescent="0.3">
      <c r="A28" s="714"/>
      <c r="B28" s="643">
        <v>2014</v>
      </c>
      <c r="C28" s="733"/>
      <c r="D28" s="734">
        <v>4.0599999999999997E-2</v>
      </c>
      <c r="E28" s="734">
        <v>1.9E-2</v>
      </c>
      <c r="F28" s="735">
        <v>1.32E-2</v>
      </c>
      <c r="G28" s="286"/>
      <c r="H28" s="79"/>
      <c r="I28" s="219" t="s">
        <v>83</v>
      </c>
      <c r="J28" s="641">
        <v>12</v>
      </c>
      <c r="K28" s="641">
        <v>24</v>
      </c>
      <c r="L28" s="641">
        <v>36</v>
      </c>
      <c r="M28" s="642">
        <v>48</v>
      </c>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thickBot="1" x14ac:dyDescent="0.3">
      <c r="A29" s="714"/>
      <c r="B29" s="647">
        <v>2015</v>
      </c>
      <c r="C29" s="737"/>
      <c r="D29" s="738">
        <v>4.2500000000000003E-2</v>
      </c>
      <c r="E29" s="738">
        <v>1.35E-2</v>
      </c>
      <c r="F29" s="739"/>
      <c r="G29" s="286"/>
      <c r="H29" s="79"/>
      <c r="I29" s="643">
        <v>2014</v>
      </c>
      <c r="J29" s="731">
        <f>J$25*$L14</f>
        <v>11.528190375016083</v>
      </c>
      <c r="K29" s="731">
        <f>K$25*$L14</f>
        <v>32.761737604212371</v>
      </c>
      <c r="L29" s="731">
        <f>L$25*$L14</f>
        <v>61</v>
      </c>
      <c r="M29" s="731">
        <f>M$25*$L14</f>
        <v>78</v>
      </c>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thickBot="1" x14ac:dyDescent="0.3">
      <c r="A30" s="714"/>
      <c r="B30" s="650">
        <v>2016</v>
      </c>
      <c r="C30" s="742"/>
      <c r="D30" s="743">
        <v>3.73E-2</v>
      </c>
      <c r="E30" s="743"/>
      <c r="F30" s="744"/>
      <c r="G30" s="286"/>
      <c r="H30" s="79"/>
      <c r="I30" s="647">
        <v>2015</v>
      </c>
      <c r="J30" s="731">
        <f>J$25*$L15</f>
        <v>13.040084194690325</v>
      </c>
      <c r="K30" s="731">
        <f>K$25*$L15</f>
        <v>37.058358929354981</v>
      </c>
      <c r="L30" s="731">
        <f>L$25*$L15</f>
        <v>69</v>
      </c>
      <c r="M30" s="732"/>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thickBot="1" x14ac:dyDescent="0.3">
      <c r="A31" s="714"/>
      <c r="B31" s="745"/>
      <c r="C31" s="745"/>
      <c r="D31" s="746"/>
      <c r="E31" s="746"/>
      <c r="F31" s="746"/>
      <c r="G31" s="286"/>
      <c r="H31" s="79"/>
      <c r="I31" s="647">
        <v>2016</v>
      </c>
      <c r="J31" s="731">
        <f>J$25*$L16</f>
        <v>13.371428571428572</v>
      </c>
      <c r="K31" s="731">
        <f>K$25*$L16</f>
        <v>38</v>
      </c>
      <c r="L31" s="736"/>
      <c r="M31" s="732"/>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thickBot="1" x14ac:dyDescent="0.3">
      <c r="A32" s="714"/>
      <c r="B32" s="747">
        <v>4100</v>
      </c>
      <c r="C32" s="748" t="s">
        <v>680</v>
      </c>
      <c r="D32" s="749"/>
      <c r="E32" s="749"/>
      <c r="F32" s="750"/>
      <c r="G32" s="286"/>
      <c r="H32" s="751"/>
      <c r="I32" s="650">
        <v>2017</v>
      </c>
      <c r="J32" s="731">
        <f>J$25*$L17</f>
        <v>18</v>
      </c>
      <c r="K32" s="740"/>
      <c r="L32" s="740"/>
      <c r="M32" s="741"/>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714"/>
      <c r="B33" s="745"/>
      <c r="C33" s="745"/>
      <c r="D33" s="746"/>
      <c r="E33" s="746"/>
      <c r="F33" s="746"/>
      <c r="G33" s="286"/>
      <c r="H33" s="82"/>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714"/>
      <c r="B34" s="752" t="s">
        <v>683</v>
      </c>
      <c r="C34" s="725"/>
      <c r="D34" s="725"/>
      <c r="E34" s="725"/>
      <c r="F34" s="725"/>
      <c r="G34" s="286"/>
      <c r="H34" s="82"/>
      <c r="I34" s="36" t="s">
        <v>678</v>
      </c>
      <c r="J34" s="36"/>
      <c r="K34" s="36"/>
      <c r="L34" s="36"/>
      <c r="M34" s="36"/>
      <c r="N34" s="36"/>
      <c r="O34" s="36" t="s">
        <v>679</v>
      </c>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thickBot="1" x14ac:dyDescent="0.3">
      <c r="A35" s="714"/>
      <c r="B35" s="752" t="s">
        <v>684</v>
      </c>
      <c r="C35" s="725"/>
      <c r="D35" s="725"/>
      <c r="E35" s="725"/>
      <c r="F35" s="725"/>
      <c r="G35" s="286"/>
      <c r="H35" s="82"/>
      <c r="I35" s="219" t="s">
        <v>83</v>
      </c>
      <c r="J35" s="641">
        <v>12</v>
      </c>
      <c r="K35" s="641">
        <v>24</v>
      </c>
      <c r="L35" s="641">
        <v>36</v>
      </c>
      <c r="M35" s="642">
        <v>48</v>
      </c>
      <c r="N35" s="36"/>
      <c r="O35" s="36" t="s">
        <v>681</v>
      </c>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thickBot="1" x14ac:dyDescent="0.3">
      <c r="A36" s="714"/>
      <c r="B36" s="745"/>
      <c r="C36" s="745"/>
      <c r="D36" s="746"/>
      <c r="E36" s="746"/>
      <c r="F36" s="746"/>
      <c r="G36" s="286"/>
      <c r="H36" s="82"/>
      <c r="I36" s="643">
        <v>2014</v>
      </c>
      <c r="J36" s="644">
        <f>D22*EXP(J29*D28)</f>
        <v>780.86870061838192</v>
      </c>
      <c r="K36" s="645">
        <f>D22*EXP(K29*D28)</f>
        <v>1849.1642074010008</v>
      </c>
      <c r="L36" s="645">
        <f>E15</f>
        <v>3280</v>
      </c>
      <c r="M36" s="646">
        <v>4100</v>
      </c>
      <c r="N36" s="36"/>
      <c r="O36" s="36" t="s">
        <v>682</v>
      </c>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thickBot="1" x14ac:dyDescent="0.3">
      <c r="A37" s="714"/>
      <c r="B37" s="752" t="s">
        <v>685</v>
      </c>
      <c r="C37" s="725"/>
      <c r="D37" s="725"/>
      <c r="E37" s="725"/>
      <c r="F37" s="725"/>
      <c r="G37" s="286"/>
      <c r="H37" s="82"/>
      <c r="I37" s="647">
        <v>2015</v>
      </c>
      <c r="J37" s="644">
        <f>D23*EXP(J30*D29)</f>
        <v>823.28214484349314</v>
      </c>
      <c r="K37" s="645">
        <f>E23*EXP(K30*E29)</f>
        <v>2036.7569563637142</v>
      </c>
      <c r="L37" s="649">
        <v>3120</v>
      </c>
      <c r="M37" s="61"/>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714"/>
      <c r="B38" s="752" t="s">
        <v>686</v>
      </c>
      <c r="C38" s="725"/>
      <c r="D38" s="725"/>
      <c r="E38" s="725"/>
      <c r="F38" s="725"/>
      <c r="G38" s="286"/>
      <c r="H38" s="82"/>
      <c r="I38" s="647">
        <v>2016</v>
      </c>
      <c r="J38" s="644">
        <f>D24*EXP(J31*D30)</f>
        <v>777.22763290190778</v>
      </c>
      <c r="K38" s="649">
        <v>1900</v>
      </c>
      <c r="L38" s="649"/>
      <c r="M38" s="61"/>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thickBot="1" x14ac:dyDescent="0.3">
      <c r="A39" s="714"/>
      <c r="B39" s="752" t="s">
        <v>688</v>
      </c>
      <c r="C39" s="725"/>
      <c r="D39" s="725"/>
      <c r="E39" s="725"/>
      <c r="F39" s="725"/>
      <c r="G39" s="286"/>
      <c r="H39" s="82"/>
      <c r="I39" s="650">
        <v>2017</v>
      </c>
      <c r="J39" s="651">
        <v>810</v>
      </c>
      <c r="K39" s="652"/>
      <c r="L39" s="652"/>
      <c r="M39" s="653"/>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thickBot="1" x14ac:dyDescent="0.3">
      <c r="A40" s="753"/>
      <c r="B40" s="754"/>
      <c r="C40" s="754"/>
      <c r="D40" s="754"/>
      <c r="E40" s="754"/>
      <c r="F40" s="754"/>
      <c r="G40" s="755"/>
      <c r="H40" s="82"/>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36" t="s">
        <v>687</v>
      </c>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thickBot="1" x14ac:dyDescent="0.3">
      <c r="A42" s="82"/>
      <c r="B42" s="82"/>
      <c r="C42" s="82"/>
      <c r="D42" s="82"/>
      <c r="E42" s="82"/>
      <c r="F42" s="82"/>
      <c r="G42" s="82"/>
      <c r="H42" s="82"/>
      <c r="I42" s="219" t="s">
        <v>83</v>
      </c>
      <c r="J42" s="452" t="s">
        <v>183</v>
      </c>
      <c r="K42" s="452" t="s">
        <v>184</v>
      </c>
      <c r="L42" s="452" t="s">
        <v>587</v>
      </c>
      <c r="M42" s="452" t="s">
        <v>560</v>
      </c>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643">
        <v>2014</v>
      </c>
      <c r="J43" s="539">
        <f>K36/J36</f>
        <v>2.3680859611053937</v>
      </c>
      <c r="K43" s="539">
        <f t="shared" ref="K43:L43" si="1">L36/K36</f>
        <v>1.7737743283545586</v>
      </c>
      <c r="L43" s="539">
        <f t="shared" si="1"/>
        <v>1.25</v>
      </c>
      <c r="M43" s="539"/>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647">
        <v>2015</v>
      </c>
      <c r="J44" s="539">
        <f t="shared" ref="J44:K45" si="2">K37/J37</f>
        <v>2.4739476850319693</v>
      </c>
      <c r="K44" s="539">
        <f t="shared" si="2"/>
        <v>1.5318469836333508</v>
      </c>
      <c r="L44" s="539"/>
      <c r="M44" s="539"/>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647">
        <v>2016</v>
      </c>
      <c r="J45" s="539">
        <f t="shared" si="2"/>
        <v>2.4445862699271719</v>
      </c>
      <c r="K45" s="539"/>
      <c r="L45" s="539"/>
      <c r="M45" s="539"/>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36" t="s">
        <v>689</v>
      </c>
      <c r="J46" s="539">
        <f>AVERAGE(J43:J45)</f>
        <v>2.4288733053548448</v>
      </c>
      <c r="K46" s="539">
        <f t="shared" ref="K46:L46" si="3">AVERAGE(K43:K45)</f>
        <v>1.6528106559939548</v>
      </c>
      <c r="L46" s="539">
        <f t="shared" si="3"/>
        <v>1.25</v>
      </c>
      <c r="M46" s="539">
        <v>1</v>
      </c>
      <c r="N46" s="36" t="s">
        <v>690</v>
      </c>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36" t="s">
        <v>162</v>
      </c>
      <c r="J47" s="539">
        <f>J46*K47</f>
        <v>5.0180846014371827</v>
      </c>
      <c r="K47" s="539">
        <f t="shared" ref="K47:L47" si="4">K46*L47</f>
        <v>2.0660133199924435</v>
      </c>
      <c r="L47" s="539">
        <f t="shared" si="4"/>
        <v>1.25</v>
      </c>
      <c r="M47" s="539">
        <v>1</v>
      </c>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36" t="s">
        <v>691</v>
      </c>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757"/>
      <c r="G50" s="82"/>
      <c r="H50" s="82"/>
      <c r="I50" s="36"/>
      <c r="J50" s="756">
        <f>J39*J47</f>
        <v>4064.6485271641181</v>
      </c>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758"/>
      <c r="G51" s="82"/>
      <c r="H51" s="82"/>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758"/>
      <c r="G52" s="82"/>
      <c r="H52" s="82"/>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327"/>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327"/>
      <c r="B55" s="327"/>
      <c r="C55" s="327"/>
      <c r="D55" s="327"/>
      <c r="E55" s="327"/>
      <c r="F55" s="327"/>
      <c r="G55" s="327"/>
      <c r="H55" s="327"/>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327"/>
      <c r="B56" s="327"/>
      <c r="C56" s="327"/>
      <c r="D56" s="327"/>
      <c r="E56" s="327"/>
      <c r="F56" s="327"/>
      <c r="G56" s="327"/>
      <c r="H56" s="327"/>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327"/>
      <c r="B57" s="327"/>
      <c r="C57" s="327"/>
      <c r="D57" s="327"/>
      <c r="E57" s="327"/>
      <c r="F57" s="327"/>
      <c r="G57" s="327"/>
      <c r="H57" s="327"/>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327"/>
      <c r="B58" s="327"/>
      <c r="C58" s="327"/>
      <c r="D58" s="327"/>
      <c r="E58" s="327"/>
      <c r="F58" s="327"/>
      <c r="G58" s="327"/>
      <c r="H58" s="327"/>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327"/>
      <c r="B59" s="327"/>
      <c r="C59" s="327"/>
      <c r="D59" s="327"/>
      <c r="E59" s="327"/>
      <c r="F59" s="327"/>
      <c r="G59" s="327"/>
      <c r="H59" s="82"/>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82"/>
      <c r="H61" s="82"/>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82"/>
      <c r="B62" s="82"/>
      <c r="C62" s="82"/>
      <c r="D62" s="82"/>
      <c r="E62" s="82"/>
      <c r="F62" s="82"/>
      <c r="G62" s="82"/>
      <c r="H62" s="82"/>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82"/>
      <c r="B63" s="82"/>
      <c r="C63" s="82"/>
      <c r="D63" s="82"/>
      <c r="E63" s="82"/>
      <c r="F63" s="82"/>
      <c r="G63" s="82"/>
      <c r="H63" s="82"/>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82"/>
      <c r="B64" s="82"/>
      <c r="C64" s="82"/>
      <c r="D64" s="82"/>
      <c r="E64" s="82"/>
      <c r="F64" s="82"/>
      <c r="G64" s="82"/>
      <c r="H64" s="82"/>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82"/>
      <c r="B65" s="82"/>
      <c r="C65" s="82"/>
      <c r="D65" s="82"/>
      <c r="E65" s="82"/>
      <c r="F65" s="82"/>
      <c r="G65" s="82"/>
      <c r="H65" s="82"/>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82"/>
      <c r="B66" s="82"/>
      <c r="C66" s="82"/>
      <c r="D66" s="82"/>
      <c r="E66" s="82"/>
      <c r="F66" s="82"/>
      <c r="G66" s="82"/>
      <c r="H66" s="82"/>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82"/>
      <c r="B67" s="82"/>
      <c r="C67" s="82"/>
      <c r="D67" s="82"/>
      <c r="E67" s="82"/>
      <c r="F67" s="82"/>
      <c r="G67" s="82"/>
      <c r="H67" s="82"/>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82"/>
      <c r="B68" s="82"/>
      <c r="C68" s="82"/>
      <c r="D68" s="82"/>
      <c r="E68" s="82"/>
      <c r="F68" s="82"/>
      <c r="G68" s="82"/>
      <c r="H68" s="82"/>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82"/>
      <c r="B69" s="82"/>
      <c r="C69" s="82"/>
      <c r="D69" s="82"/>
      <c r="E69" s="82"/>
      <c r="F69" s="82"/>
      <c r="G69" s="82"/>
      <c r="H69" s="82"/>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82"/>
      <c r="B70" s="82"/>
      <c r="C70" s="82"/>
      <c r="D70" s="82"/>
      <c r="E70" s="82"/>
      <c r="F70" s="82"/>
      <c r="G70" s="82"/>
      <c r="H70" s="82"/>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82"/>
      <c r="B71" s="82"/>
      <c r="C71" s="82"/>
      <c r="D71" s="82"/>
      <c r="E71" s="82"/>
      <c r="F71" s="82"/>
      <c r="G71" s="82"/>
      <c r="H71" s="82"/>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82"/>
      <c r="B72" s="82"/>
      <c r="C72" s="82"/>
      <c r="D72" s="82"/>
      <c r="E72" s="82"/>
      <c r="F72" s="82"/>
      <c r="G72" s="82"/>
      <c r="H72" s="82"/>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82"/>
      <c r="B73" s="82"/>
      <c r="C73" s="82"/>
      <c r="D73" s="82"/>
      <c r="E73" s="82"/>
      <c r="F73" s="82"/>
      <c r="G73" s="82"/>
      <c r="H73" s="82"/>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82"/>
      <c r="B74" s="82"/>
      <c r="C74" s="82"/>
      <c r="D74" s="82"/>
      <c r="E74" s="82"/>
      <c r="F74" s="82"/>
      <c r="G74" s="82"/>
      <c r="H74" s="82"/>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82"/>
      <c r="B75" s="82"/>
      <c r="C75" s="82"/>
      <c r="D75" s="82"/>
      <c r="E75" s="82"/>
      <c r="F75" s="82"/>
      <c r="G75" s="82"/>
      <c r="H75" s="82"/>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82"/>
      <c r="B76" s="82"/>
      <c r="C76" s="82"/>
      <c r="D76" s="82"/>
      <c r="E76" s="82"/>
      <c r="F76" s="82"/>
      <c r="G76" s="82"/>
      <c r="H76" s="82"/>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82"/>
      <c r="B77" s="82"/>
      <c r="C77" s="82"/>
      <c r="D77" s="82"/>
      <c r="E77" s="82"/>
      <c r="F77" s="82"/>
      <c r="G77" s="82"/>
      <c r="H77" s="82"/>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82"/>
      <c r="B78" s="82"/>
      <c r="C78" s="82"/>
      <c r="D78" s="82"/>
      <c r="E78" s="82"/>
      <c r="F78" s="82"/>
      <c r="G78" s="82"/>
      <c r="H78" s="82"/>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82"/>
      <c r="B79" s="82"/>
      <c r="C79" s="82"/>
      <c r="D79" s="82"/>
      <c r="E79" s="82"/>
      <c r="F79" s="82"/>
      <c r="G79" s="82"/>
      <c r="H79" s="82"/>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82"/>
      <c r="B80" s="82"/>
      <c r="C80" s="82"/>
      <c r="D80" s="82"/>
      <c r="E80" s="82"/>
      <c r="F80" s="82"/>
      <c r="G80" s="82"/>
      <c r="H80" s="82"/>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82"/>
      <c r="B81" s="82"/>
      <c r="C81" s="82"/>
      <c r="D81" s="82"/>
      <c r="E81" s="82"/>
      <c r="F81" s="82"/>
      <c r="G81" s="82"/>
      <c r="H81" s="82"/>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82"/>
      <c r="B82" s="82"/>
      <c r="C82" s="82"/>
      <c r="D82" s="82"/>
      <c r="E82" s="82"/>
      <c r="F82" s="82"/>
      <c r="G82" s="82"/>
      <c r="H82" s="82"/>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82"/>
      <c r="B83" s="82"/>
      <c r="C83" s="82"/>
      <c r="D83" s="82"/>
      <c r="E83" s="82"/>
      <c r="F83" s="82"/>
      <c r="G83" s="82"/>
      <c r="H83" s="82"/>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82"/>
      <c r="B84" s="82"/>
      <c r="C84" s="82"/>
      <c r="D84" s="82"/>
      <c r="E84" s="82"/>
      <c r="F84" s="82"/>
      <c r="G84" s="82"/>
      <c r="H84" s="82"/>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82"/>
      <c r="B85" s="82"/>
      <c r="C85" s="82"/>
      <c r="D85" s="82"/>
      <c r="E85" s="82"/>
      <c r="F85" s="82"/>
      <c r="G85" s="82"/>
      <c r="H85" s="82"/>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82"/>
      <c r="B86" s="82"/>
      <c r="C86" s="82"/>
      <c r="D86" s="82"/>
      <c r="E86" s="82"/>
      <c r="F86" s="82"/>
      <c r="G86" s="82"/>
      <c r="H86" s="82"/>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82"/>
      <c r="B87" s="82"/>
      <c r="C87" s="82"/>
      <c r="D87" s="82"/>
      <c r="E87" s="82"/>
      <c r="F87" s="82"/>
      <c r="G87" s="82"/>
      <c r="H87" s="82"/>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82"/>
      <c r="B88" s="82"/>
      <c r="C88" s="82"/>
      <c r="D88" s="82"/>
      <c r="E88" s="82"/>
      <c r="F88" s="82"/>
      <c r="G88" s="82"/>
      <c r="H88" s="82"/>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82"/>
      <c r="B89" s="82"/>
      <c r="C89" s="82"/>
      <c r="D89" s="82"/>
      <c r="E89" s="82"/>
      <c r="F89" s="82"/>
      <c r="G89" s="82"/>
      <c r="H89" s="82"/>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82"/>
      <c r="B90" s="82"/>
      <c r="C90" s="82"/>
      <c r="D90" s="82"/>
      <c r="E90" s="82"/>
      <c r="F90" s="82"/>
      <c r="G90" s="82"/>
      <c r="H90" s="82"/>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82"/>
      <c r="B91" s="82"/>
      <c r="C91" s="82"/>
      <c r="D91" s="82"/>
      <c r="E91" s="82"/>
      <c r="F91" s="82"/>
      <c r="G91" s="82"/>
      <c r="H91" s="82"/>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82"/>
      <c r="B92" s="82"/>
      <c r="C92" s="82"/>
      <c r="D92" s="82"/>
      <c r="E92" s="82"/>
      <c r="F92" s="82"/>
      <c r="G92" s="82"/>
      <c r="H92" s="82"/>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82"/>
      <c r="B93" s="82"/>
      <c r="C93" s="82"/>
      <c r="D93" s="82"/>
      <c r="E93" s="82"/>
      <c r="F93" s="82"/>
      <c r="G93" s="82"/>
      <c r="H93" s="82"/>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82"/>
      <c r="B94" s="82"/>
      <c r="C94" s="82"/>
      <c r="D94" s="82"/>
      <c r="E94" s="82"/>
      <c r="F94" s="82"/>
      <c r="G94" s="82"/>
      <c r="H94" s="82"/>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82"/>
      <c r="B95" s="82"/>
      <c r="C95" s="82"/>
      <c r="D95" s="82"/>
      <c r="E95" s="82"/>
      <c r="F95" s="82"/>
      <c r="G95" s="82"/>
      <c r="H95" s="82"/>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82"/>
      <c r="B96" s="82"/>
      <c r="C96" s="82"/>
      <c r="D96" s="82"/>
      <c r="E96" s="82"/>
      <c r="F96" s="82"/>
      <c r="G96" s="82"/>
      <c r="H96" s="82"/>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82"/>
      <c r="B97" s="82"/>
      <c r="C97" s="82"/>
      <c r="D97" s="82"/>
      <c r="E97" s="82"/>
      <c r="F97" s="82"/>
      <c r="G97" s="82"/>
      <c r="H97" s="82"/>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82"/>
      <c r="B98" s="82"/>
      <c r="C98" s="82"/>
      <c r="D98" s="82"/>
      <c r="E98" s="82"/>
      <c r="F98" s="82"/>
      <c r="G98" s="82"/>
      <c r="H98" s="82"/>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82"/>
      <c r="B99" s="82"/>
      <c r="C99" s="82"/>
      <c r="D99" s="82"/>
      <c r="E99" s="82"/>
      <c r="F99" s="82"/>
      <c r="G99" s="82"/>
      <c r="H99" s="82"/>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82"/>
      <c r="B100" s="82"/>
      <c r="C100" s="82"/>
      <c r="D100" s="82"/>
      <c r="E100" s="82"/>
      <c r="F100" s="82"/>
      <c r="G100" s="82"/>
      <c r="H100" s="82"/>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82"/>
      <c r="B101" s="82"/>
      <c r="C101" s="82"/>
      <c r="D101" s="82"/>
      <c r="E101" s="82"/>
      <c r="F101" s="82"/>
      <c r="G101" s="82"/>
      <c r="H101" s="82"/>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82"/>
      <c r="B102" s="82"/>
      <c r="C102" s="82"/>
      <c r="D102" s="82"/>
      <c r="E102" s="82"/>
      <c r="F102" s="82"/>
      <c r="G102" s="82"/>
      <c r="H102" s="82"/>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82"/>
      <c r="B103" s="82"/>
      <c r="C103" s="82"/>
      <c r="D103" s="82"/>
      <c r="E103" s="82"/>
      <c r="F103" s="82"/>
      <c r="G103" s="82"/>
      <c r="H103" s="82"/>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82"/>
      <c r="B104" s="82"/>
      <c r="C104" s="82"/>
      <c r="D104" s="82"/>
      <c r="E104" s="82"/>
      <c r="F104" s="82"/>
      <c r="G104" s="82"/>
      <c r="H104" s="82"/>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82"/>
      <c r="B105" s="82"/>
      <c r="C105" s="82"/>
      <c r="D105" s="82"/>
      <c r="E105" s="82"/>
      <c r="F105" s="82"/>
      <c r="G105" s="82"/>
      <c r="H105" s="82"/>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82"/>
      <c r="B106" s="82"/>
      <c r="C106" s="82"/>
      <c r="D106" s="82"/>
      <c r="E106" s="82"/>
      <c r="F106" s="82"/>
      <c r="G106" s="82"/>
      <c r="H106" s="82"/>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82"/>
      <c r="B107" s="82"/>
      <c r="C107" s="82"/>
      <c r="D107" s="82"/>
      <c r="E107" s="82"/>
      <c r="F107" s="82"/>
      <c r="G107" s="82"/>
      <c r="H107" s="82"/>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82"/>
      <c r="B108" s="82"/>
      <c r="C108" s="82"/>
      <c r="D108" s="82"/>
      <c r="E108" s="82"/>
      <c r="F108" s="82"/>
      <c r="G108" s="82"/>
      <c r="H108" s="82"/>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82"/>
      <c r="B109" s="82"/>
      <c r="C109" s="82"/>
      <c r="D109" s="82"/>
      <c r="E109" s="82"/>
      <c r="F109" s="82"/>
      <c r="G109" s="82"/>
      <c r="H109" s="82"/>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82"/>
      <c r="B110" s="82"/>
      <c r="C110" s="82"/>
      <c r="D110" s="82"/>
      <c r="E110" s="82"/>
      <c r="F110" s="82"/>
      <c r="G110" s="82"/>
      <c r="H110" s="82"/>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82"/>
      <c r="B111" s="82"/>
      <c r="C111" s="82"/>
      <c r="D111" s="82"/>
      <c r="E111" s="82"/>
      <c r="F111" s="82"/>
      <c r="G111" s="82"/>
      <c r="H111" s="82"/>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82"/>
      <c r="B112" s="82"/>
      <c r="C112" s="82"/>
      <c r="D112" s="82"/>
      <c r="E112" s="82"/>
      <c r="F112" s="82"/>
      <c r="G112" s="82"/>
      <c r="H112" s="82"/>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82"/>
      <c r="B113" s="82"/>
      <c r="C113" s="82"/>
      <c r="D113" s="82"/>
      <c r="E113" s="82"/>
      <c r="F113" s="82"/>
      <c r="G113" s="82"/>
      <c r="H113" s="82"/>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82"/>
      <c r="B114" s="82"/>
      <c r="C114" s="82"/>
      <c r="D114" s="82"/>
      <c r="E114" s="82"/>
      <c r="F114" s="82"/>
      <c r="G114" s="82"/>
      <c r="H114" s="82"/>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82"/>
      <c r="B115" s="82"/>
      <c r="C115" s="82"/>
      <c r="D115" s="82"/>
      <c r="E115" s="82"/>
      <c r="F115" s="82"/>
      <c r="G115" s="82"/>
      <c r="H115" s="82"/>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82"/>
      <c r="B116" s="82"/>
      <c r="C116" s="82"/>
      <c r="D116" s="82"/>
      <c r="E116" s="82"/>
      <c r="F116" s="82"/>
      <c r="G116" s="82"/>
      <c r="H116" s="82"/>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82"/>
      <c r="B117" s="82"/>
      <c r="C117" s="82"/>
      <c r="D117" s="82"/>
      <c r="E117" s="82"/>
      <c r="F117" s="82"/>
      <c r="G117" s="82"/>
      <c r="H117" s="82"/>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82"/>
      <c r="B118" s="82"/>
      <c r="C118" s="82"/>
      <c r="D118" s="82"/>
      <c r="E118" s="82"/>
      <c r="F118" s="82"/>
      <c r="G118" s="82"/>
      <c r="H118" s="82"/>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82"/>
      <c r="B119" s="82"/>
      <c r="C119" s="82"/>
      <c r="D119" s="82"/>
      <c r="E119" s="82"/>
      <c r="F119" s="82"/>
      <c r="G119" s="82"/>
      <c r="H119" s="82"/>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82"/>
      <c r="B120" s="82"/>
      <c r="C120" s="82"/>
      <c r="D120" s="82"/>
      <c r="E120" s="82"/>
      <c r="F120" s="82"/>
      <c r="G120" s="82"/>
      <c r="H120" s="82"/>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82"/>
      <c r="B121" s="82"/>
      <c r="C121" s="82"/>
      <c r="D121" s="82"/>
      <c r="E121" s="82"/>
      <c r="F121" s="82"/>
      <c r="G121" s="82"/>
      <c r="H121" s="82"/>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mergeCells count="1">
    <mergeCell ref="I2:O2"/>
  </mergeCells>
  <conditionalFormatting sqref="B1">
    <cfRule type="cellIs" dxfId="2" priority="1" operator="equal">
      <formula>"Review"</formula>
    </cfRule>
    <cfRule type="cellIs" dxfId="1" priority="2" operator="equal">
      <formula>"Finished"</formula>
    </cfRule>
    <cfRule type="cellIs" dxfId="0" priority="3" operator="equal">
      <formula>"Incomplete"</formula>
    </cfRule>
  </conditionalFormatting>
  <pageMargins left="0.75" right="0.75" top="1" bottom="1" header="0.5" footer="0.5"/>
  <pageSetup firstPageNumber="0" orientation="portrait" r:id="rId1"/>
  <headerFooter alignWithMargins="0">
    <oddHeader>&amp;CSpring 2018 Exam 5 Make-Up</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Z107"/>
  <sheetViews>
    <sheetView workbookViewId="0"/>
  </sheetViews>
  <sheetFormatPr defaultRowHeight="12.75" x14ac:dyDescent="0.2"/>
  <cols>
    <col min="1" max="1" width="9" style="763"/>
    <col min="2" max="2" width="10.25" style="763" customWidth="1"/>
    <col min="3" max="5" width="9" style="763"/>
    <col min="6" max="6" width="14.875" style="763" customWidth="1"/>
    <col min="7" max="7" width="9" style="763"/>
    <col min="8" max="8" width="22.5" style="763" customWidth="1"/>
    <col min="9" max="9" width="15.25" style="763" customWidth="1"/>
    <col min="10" max="12" width="9" style="763"/>
    <col min="13" max="13" width="10.5" style="763" customWidth="1"/>
    <col min="14" max="257" width="9" style="763"/>
    <col min="258" max="258" width="10.25" style="763" customWidth="1"/>
    <col min="259" max="268" width="9" style="763"/>
    <col min="269" max="269" width="10.5" style="763" customWidth="1"/>
    <col min="270" max="513" width="9" style="763"/>
    <col min="514" max="514" width="10.25" style="763" customWidth="1"/>
    <col min="515" max="524" width="9" style="763"/>
    <col min="525" max="525" width="10.5" style="763" customWidth="1"/>
    <col min="526" max="769" width="9" style="763"/>
    <col min="770" max="770" width="10.25" style="763" customWidth="1"/>
    <col min="771" max="780" width="9" style="763"/>
    <col min="781" max="781" width="10.5" style="763" customWidth="1"/>
    <col min="782" max="1025" width="9" style="763"/>
    <col min="1026" max="1026" width="10.25" style="763" customWidth="1"/>
    <col min="1027" max="1036" width="9" style="763"/>
    <col min="1037" max="1037" width="10.5" style="763" customWidth="1"/>
    <col min="1038" max="1281" width="9" style="763"/>
    <col min="1282" max="1282" width="10.25" style="763" customWidth="1"/>
    <col min="1283" max="1292" width="9" style="763"/>
    <col min="1293" max="1293" width="10.5" style="763" customWidth="1"/>
    <col min="1294" max="1537" width="9" style="763"/>
    <col min="1538" max="1538" width="10.25" style="763" customWidth="1"/>
    <col min="1539" max="1548" width="9" style="763"/>
    <col min="1549" max="1549" width="10.5" style="763" customWidth="1"/>
    <col min="1550" max="1793" width="9" style="763"/>
    <col min="1794" max="1794" width="10.25" style="763" customWidth="1"/>
    <col min="1795" max="1804" width="9" style="763"/>
    <col min="1805" max="1805" width="10.5" style="763" customWidth="1"/>
    <col min="1806" max="2049" width="9" style="763"/>
    <col min="2050" max="2050" width="10.25" style="763" customWidth="1"/>
    <col min="2051" max="2060" width="9" style="763"/>
    <col min="2061" max="2061" width="10.5" style="763" customWidth="1"/>
    <col min="2062" max="2305" width="9" style="763"/>
    <col min="2306" max="2306" width="10.25" style="763" customWidth="1"/>
    <col min="2307" max="2316" width="9" style="763"/>
    <col min="2317" max="2317" width="10.5" style="763" customWidth="1"/>
    <col min="2318" max="2561" width="9" style="763"/>
    <col min="2562" max="2562" width="10.25" style="763" customWidth="1"/>
    <col min="2563" max="2572" width="9" style="763"/>
    <col min="2573" max="2573" width="10.5" style="763" customWidth="1"/>
    <col min="2574" max="2817" width="9" style="763"/>
    <col min="2818" max="2818" width="10.25" style="763" customWidth="1"/>
    <col min="2819" max="2828" width="9" style="763"/>
    <col min="2829" max="2829" width="10.5" style="763" customWidth="1"/>
    <col min="2830" max="3073" width="9" style="763"/>
    <col min="3074" max="3074" width="10.25" style="763" customWidth="1"/>
    <col min="3075" max="3084" width="9" style="763"/>
    <col min="3085" max="3085" width="10.5" style="763" customWidth="1"/>
    <col min="3086" max="3329" width="9" style="763"/>
    <col min="3330" max="3330" width="10.25" style="763" customWidth="1"/>
    <col min="3331" max="3340" width="9" style="763"/>
    <col min="3341" max="3341" width="10.5" style="763" customWidth="1"/>
    <col min="3342" max="3585" width="9" style="763"/>
    <col min="3586" max="3586" width="10.25" style="763" customWidth="1"/>
    <col min="3587" max="3596" width="9" style="763"/>
    <col min="3597" max="3597" width="10.5" style="763" customWidth="1"/>
    <col min="3598" max="3841" width="9" style="763"/>
    <col min="3842" max="3842" width="10.25" style="763" customWidth="1"/>
    <col min="3843" max="3852" width="9" style="763"/>
    <col min="3853" max="3853" width="10.5" style="763" customWidth="1"/>
    <col min="3854" max="4097" width="9" style="763"/>
    <col min="4098" max="4098" width="10.25" style="763" customWidth="1"/>
    <col min="4099" max="4108" width="9" style="763"/>
    <col min="4109" max="4109" width="10.5" style="763" customWidth="1"/>
    <col min="4110" max="4353" width="9" style="763"/>
    <col min="4354" max="4354" width="10.25" style="763" customWidth="1"/>
    <col min="4355" max="4364" width="9" style="763"/>
    <col min="4365" max="4365" width="10.5" style="763" customWidth="1"/>
    <col min="4366" max="4609" width="9" style="763"/>
    <col min="4610" max="4610" width="10.25" style="763" customWidth="1"/>
    <col min="4611" max="4620" width="9" style="763"/>
    <col min="4621" max="4621" width="10.5" style="763" customWidth="1"/>
    <col min="4622" max="4865" width="9" style="763"/>
    <col min="4866" max="4866" width="10.25" style="763" customWidth="1"/>
    <col min="4867" max="4876" width="9" style="763"/>
    <col min="4877" max="4877" width="10.5" style="763" customWidth="1"/>
    <col min="4878" max="5121" width="9" style="763"/>
    <col min="5122" max="5122" width="10.25" style="763" customWidth="1"/>
    <col min="5123" max="5132" width="9" style="763"/>
    <col min="5133" max="5133" width="10.5" style="763" customWidth="1"/>
    <col min="5134" max="5377" width="9" style="763"/>
    <col min="5378" max="5378" width="10.25" style="763" customWidth="1"/>
    <col min="5379" max="5388" width="9" style="763"/>
    <col min="5389" max="5389" width="10.5" style="763" customWidth="1"/>
    <col min="5390" max="5633" width="9" style="763"/>
    <col min="5634" max="5634" width="10.25" style="763" customWidth="1"/>
    <col min="5635" max="5644" width="9" style="763"/>
    <col min="5645" max="5645" width="10.5" style="763" customWidth="1"/>
    <col min="5646" max="5889" width="9" style="763"/>
    <col min="5890" max="5890" width="10.25" style="763" customWidth="1"/>
    <col min="5891" max="5900" width="9" style="763"/>
    <col min="5901" max="5901" width="10.5" style="763" customWidth="1"/>
    <col min="5902" max="6145" width="9" style="763"/>
    <col min="6146" max="6146" width="10.25" style="763" customWidth="1"/>
    <col min="6147" max="6156" width="9" style="763"/>
    <col min="6157" max="6157" width="10.5" style="763" customWidth="1"/>
    <col min="6158" max="6401" width="9" style="763"/>
    <col min="6402" max="6402" width="10.25" style="763" customWidth="1"/>
    <col min="6403" max="6412" width="9" style="763"/>
    <col min="6413" max="6413" width="10.5" style="763" customWidth="1"/>
    <col min="6414" max="6657" width="9" style="763"/>
    <col min="6658" max="6658" width="10.25" style="763" customWidth="1"/>
    <col min="6659" max="6668" width="9" style="763"/>
    <col min="6669" max="6669" width="10.5" style="763" customWidth="1"/>
    <col min="6670" max="6913" width="9" style="763"/>
    <col min="6914" max="6914" width="10.25" style="763" customWidth="1"/>
    <col min="6915" max="6924" width="9" style="763"/>
    <col min="6925" max="6925" width="10.5" style="763" customWidth="1"/>
    <col min="6926" max="7169" width="9" style="763"/>
    <col min="7170" max="7170" width="10.25" style="763" customWidth="1"/>
    <col min="7171" max="7180" width="9" style="763"/>
    <col min="7181" max="7181" width="10.5" style="763" customWidth="1"/>
    <col min="7182" max="7425" width="9" style="763"/>
    <col min="7426" max="7426" width="10.25" style="763" customWidth="1"/>
    <col min="7427" max="7436" width="9" style="763"/>
    <col min="7437" max="7437" width="10.5" style="763" customWidth="1"/>
    <col min="7438" max="7681" width="9" style="763"/>
    <col min="7682" max="7682" width="10.25" style="763" customWidth="1"/>
    <col min="7683" max="7692" width="9" style="763"/>
    <col min="7693" max="7693" width="10.5" style="763" customWidth="1"/>
    <col min="7694" max="7937" width="9" style="763"/>
    <col min="7938" max="7938" width="10.25" style="763" customWidth="1"/>
    <col min="7939" max="7948" width="9" style="763"/>
    <col min="7949" max="7949" width="10.5" style="763" customWidth="1"/>
    <col min="7950" max="8193" width="9" style="763"/>
    <col min="8194" max="8194" width="10.25" style="763" customWidth="1"/>
    <col min="8195" max="8204" width="9" style="763"/>
    <col min="8205" max="8205" width="10.5" style="763" customWidth="1"/>
    <col min="8206" max="8449" width="9" style="763"/>
    <col min="8450" max="8450" width="10.25" style="763" customWidth="1"/>
    <col min="8451" max="8460" width="9" style="763"/>
    <col min="8461" max="8461" width="10.5" style="763" customWidth="1"/>
    <col min="8462" max="8705" width="9" style="763"/>
    <col min="8706" max="8706" width="10.25" style="763" customWidth="1"/>
    <col min="8707" max="8716" width="9" style="763"/>
    <col min="8717" max="8717" width="10.5" style="763" customWidth="1"/>
    <col min="8718" max="8961" width="9" style="763"/>
    <col min="8962" max="8962" width="10.25" style="763" customWidth="1"/>
    <col min="8963" max="8972" width="9" style="763"/>
    <col min="8973" max="8973" width="10.5" style="763" customWidth="1"/>
    <col min="8974" max="9217" width="9" style="763"/>
    <col min="9218" max="9218" width="10.25" style="763" customWidth="1"/>
    <col min="9219" max="9228" width="9" style="763"/>
    <col min="9229" max="9229" width="10.5" style="763" customWidth="1"/>
    <col min="9230" max="9473" width="9" style="763"/>
    <col min="9474" max="9474" width="10.25" style="763" customWidth="1"/>
    <col min="9475" max="9484" width="9" style="763"/>
    <col min="9485" max="9485" width="10.5" style="763" customWidth="1"/>
    <col min="9486" max="9729" width="9" style="763"/>
    <col min="9730" max="9730" width="10.25" style="763" customWidth="1"/>
    <col min="9731" max="9740" width="9" style="763"/>
    <col min="9741" max="9741" width="10.5" style="763" customWidth="1"/>
    <col min="9742" max="9985" width="9" style="763"/>
    <col min="9986" max="9986" width="10.25" style="763" customWidth="1"/>
    <col min="9987" max="9996" width="9" style="763"/>
    <col min="9997" max="9997" width="10.5" style="763" customWidth="1"/>
    <col min="9998" max="10241" width="9" style="763"/>
    <col min="10242" max="10242" width="10.25" style="763" customWidth="1"/>
    <col min="10243" max="10252" width="9" style="763"/>
    <col min="10253" max="10253" width="10.5" style="763" customWidth="1"/>
    <col min="10254" max="10497" width="9" style="763"/>
    <col min="10498" max="10498" width="10.25" style="763" customWidth="1"/>
    <col min="10499" max="10508" width="9" style="763"/>
    <col min="10509" max="10509" width="10.5" style="763" customWidth="1"/>
    <col min="10510" max="10753" width="9" style="763"/>
    <col min="10754" max="10754" width="10.25" style="763" customWidth="1"/>
    <col min="10755" max="10764" width="9" style="763"/>
    <col min="10765" max="10765" width="10.5" style="763" customWidth="1"/>
    <col min="10766" max="11009" width="9" style="763"/>
    <col min="11010" max="11010" width="10.25" style="763" customWidth="1"/>
    <col min="11011" max="11020" width="9" style="763"/>
    <col min="11021" max="11021" width="10.5" style="763" customWidth="1"/>
    <col min="11022" max="11265" width="9" style="763"/>
    <col min="11266" max="11266" width="10.25" style="763" customWidth="1"/>
    <col min="11267" max="11276" width="9" style="763"/>
    <col min="11277" max="11277" width="10.5" style="763" customWidth="1"/>
    <col min="11278" max="11521" width="9" style="763"/>
    <col min="11522" max="11522" width="10.25" style="763" customWidth="1"/>
    <col min="11523" max="11532" width="9" style="763"/>
    <col min="11533" max="11533" width="10.5" style="763" customWidth="1"/>
    <col min="11534" max="11777" width="9" style="763"/>
    <col min="11778" max="11778" width="10.25" style="763" customWidth="1"/>
    <col min="11779" max="11788" width="9" style="763"/>
    <col min="11789" max="11789" width="10.5" style="763" customWidth="1"/>
    <col min="11790" max="12033" width="9" style="763"/>
    <col min="12034" max="12034" width="10.25" style="763" customWidth="1"/>
    <col min="12035" max="12044" width="9" style="763"/>
    <col min="12045" max="12045" width="10.5" style="763" customWidth="1"/>
    <col min="12046" max="12289" width="9" style="763"/>
    <col min="12290" max="12290" width="10.25" style="763" customWidth="1"/>
    <col min="12291" max="12300" width="9" style="763"/>
    <col min="12301" max="12301" width="10.5" style="763" customWidth="1"/>
    <col min="12302" max="12545" width="9" style="763"/>
    <col min="12546" max="12546" width="10.25" style="763" customWidth="1"/>
    <col min="12547" max="12556" width="9" style="763"/>
    <col min="12557" max="12557" width="10.5" style="763" customWidth="1"/>
    <col min="12558" max="12801" width="9" style="763"/>
    <col min="12802" max="12802" width="10.25" style="763" customWidth="1"/>
    <col min="12803" max="12812" width="9" style="763"/>
    <col min="12813" max="12813" width="10.5" style="763" customWidth="1"/>
    <col min="12814" max="13057" width="9" style="763"/>
    <col min="13058" max="13058" width="10.25" style="763" customWidth="1"/>
    <col min="13059" max="13068" width="9" style="763"/>
    <col min="13069" max="13069" width="10.5" style="763" customWidth="1"/>
    <col min="13070" max="13313" width="9" style="763"/>
    <col min="13314" max="13314" width="10.25" style="763" customWidth="1"/>
    <col min="13315" max="13324" width="9" style="763"/>
    <col min="13325" max="13325" width="10.5" style="763" customWidth="1"/>
    <col min="13326" max="13569" width="9" style="763"/>
    <col min="13570" max="13570" width="10.25" style="763" customWidth="1"/>
    <col min="13571" max="13580" width="9" style="763"/>
    <col min="13581" max="13581" width="10.5" style="763" customWidth="1"/>
    <col min="13582" max="13825" width="9" style="763"/>
    <col min="13826" max="13826" width="10.25" style="763" customWidth="1"/>
    <col min="13827" max="13836" width="9" style="763"/>
    <col min="13837" max="13837" width="10.5" style="763" customWidth="1"/>
    <col min="13838" max="14081" width="9" style="763"/>
    <col min="14082" max="14082" width="10.25" style="763" customWidth="1"/>
    <col min="14083" max="14092" width="9" style="763"/>
    <col min="14093" max="14093" width="10.5" style="763" customWidth="1"/>
    <col min="14094" max="14337" width="9" style="763"/>
    <col min="14338" max="14338" width="10.25" style="763" customWidth="1"/>
    <col min="14339" max="14348" width="9" style="763"/>
    <col min="14349" max="14349" width="10.5" style="763" customWidth="1"/>
    <col min="14350" max="14593" width="9" style="763"/>
    <col min="14594" max="14594" width="10.25" style="763" customWidth="1"/>
    <col min="14595" max="14604" width="9" style="763"/>
    <col min="14605" max="14605" width="10.5" style="763" customWidth="1"/>
    <col min="14606" max="14849" width="9" style="763"/>
    <col min="14850" max="14850" width="10.25" style="763" customWidth="1"/>
    <col min="14851" max="14860" width="9" style="763"/>
    <col min="14861" max="14861" width="10.5" style="763" customWidth="1"/>
    <col min="14862" max="15105" width="9" style="763"/>
    <col min="15106" max="15106" width="10.25" style="763" customWidth="1"/>
    <col min="15107" max="15116" width="9" style="763"/>
    <col min="15117" max="15117" width="10.5" style="763" customWidth="1"/>
    <col min="15118" max="15361" width="9" style="763"/>
    <col min="15362" max="15362" width="10.25" style="763" customWidth="1"/>
    <col min="15363" max="15372" width="9" style="763"/>
    <col min="15373" max="15373" width="10.5" style="763" customWidth="1"/>
    <col min="15374" max="15617" width="9" style="763"/>
    <col min="15618" max="15618" width="10.25" style="763" customWidth="1"/>
    <col min="15619" max="15628" width="9" style="763"/>
    <col min="15629" max="15629" width="10.5" style="763" customWidth="1"/>
    <col min="15630" max="15873" width="9" style="763"/>
    <col min="15874" max="15874" width="10.25" style="763" customWidth="1"/>
    <col min="15875" max="15884" width="9" style="763"/>
    <col min="15885" max="15885" width="10.5" style="763" customWidth="1"/>
    <col min="15886" max="16129" width="9" style="763"/>
    <col min="16130" max="16130" width="10.25" style="763" customWidth="1"/>
    <col min="16131" max="16140" width="9" style="763"/>
    <col min="16141" max="16141" width="10.5" style="763" customWidth="1"/>
    <col min="16142" max="16384" width="9" style="763"/>
  </cols>
  <sheetData>
    <row r="1" spans="1:26" ht="15" thickBot="1" x14ac:dyDescent="0.25">
      <c r="A1" s="759">
        <v>22</v>
      </c>
      <c r="B1" s="2"/>
      <c r="C1" s="760"/>
      <c r="D1" s="760"/>
      <c r="E1" s="760"/>
      <c r="F1" s="760"/>
      <c r="G1" s="760"/>
      <c r="H1" s="760"/>
      <c r="I1" s="761"/>
      <c r="J1" s="762"/>
      <c r="K1" s="762"/>
      <c r="L1" s="762"/>
      <c r="M1" s="762"/>
      <c r="N1" s="762"/>
      <c r="O1" s="762"/>
      <c r="P1" s="762"/>
      <c r="Q1" s="762"/>
      <c r="R1" s="762"/>
      <c r="S1" s="762"/>
      <c r="T1" s="762"/>
      <c r="U1" s="762"/>
      <c r="V1" s="762"/>
      <c r="W1" s="762"/>
      <c r="X1" s="762"/>
      <c r="Y1" s="762"/>
      <c r="Z1" s="762"/>
    </row>
    <row r="2" spans="1:26" ht="14.25" x14ac:dyDescent="0.2">
      <c r="A2" s="764" t="s">
        <v>0</v>
      </c>
      <c r="B2" s="765"/>
      <c r="C2" s="765"/>
      <c r="D2" s="765"/>
      <c r="E2" s="765"/>
      <c r="F2" s="765"/>
      <c r="G2" s="765"/>
      <c r="H2" s="765"/>
      <c r="I2" s="766"/>
      <c r="J2" s="762"/>
      <c r="K2" s="762"/>
      <c r="L2" s="762"/>
      <c r="M2" s="762"/>
      <c r="N2" s="762"/>
      <c r="O2" s="762"/>
      <c r="P2" s="762"/>
      <c r="Q2" s="762"/>
      <c r="R2" s="762"/>
      <c r="S2" s="762"/>
      <c r="T2" s="762"/>
      <c r="U2" s="762"/>
      <c r="V2" s="762"/>
      <c r="W2" s="762"/>
      <c r="X2" s="762"/>
      <c r="Y2" s="762"/>
      <c r="Z2" s="762"/>
    </row>
    <row r="3" spans="1:26" ht="14.25" x14ac:dyDescent="0.2">
      <c r="A3" s="767">
        <v>2.75</v>
      </c>
      <c r="B3" s="768"/>
      <c r="C3" s="765"/>
      <c r="D3" s="765"/>
      <c r="E3" s="765"/>
      <c r="F3" s="765"/>
      <c r="G3" s="765"/>
      <c r="H3" s="765"/>
      <c r="I3" s="766"/>
      <c r="J3" s="762"/>
      <c r="K3" s="762"/>
      <c r="L3" s="762"/>
      <c r="M3" s="762"/>
      <c r="N3" s="762"/>
      <c r="O3" s="762"/>
      <c r="P3" s="762"/>
      <c r="Q3" s="762"/>
      <c r="R3" s="762"/>
      <c r="S3" s="762"/>
      <c r="T3" s="762"/>
      <c r="U3" s="762"/>
      <c r="V3" s="762"/>
      <c r="W3" s="762"/>
      <c r="X3" s="762"/>
      <c r="Y3" s="762"/>
      <c r="Z3" s="762"/>
    </row>
    <row r="4" spans="1:26" ht="14.25" x14ac:dyDescent="0.2">
      <c r="A4" s="767"/>
      <c r="B4" s="769" t="s">
        <v>692</v>
      </c>
      <c r="C4" s="765"/>
      <c r="D4" s="765"/>
      <c r="E4" s="765"/>
      <c r="F4" s="765"/>
      <c r="G4" s="765"/>
      <c r="H4" s="765"/>
      <c r="I4" s="766"/>
      <c r="J4" s="762"/>
      <c r="K4" s="762"/>
      <c r="L4" s="762"/>
      <c r="M4" s="762"/>
      <c r="N4" s="762"/>
      <c r="O4" s="762"/>
      <c r="P4" s="762"/>
      <c r="Q4" s="762"/>
      <c r="R4" s="762"/>
      <c r="S4" s="762"/>
      <c r="T4" s="762"/>
      <c r="U4" s="762"/>
      <c r="V4" s="762"/>
      <c r="W4" s="762"/>
      <c r="X4" s="762"/>
      <c r="Y4" s="762"/>
      <c r="Z4" s="762"/>
    </row>
    <row r="5" spans="1:26" ht="15" thickBot="1" x14ac:dyDescent="0.25">
      <c r="A5" s="767"/>
      <c r="B5" s="769"/>
      <c r="C5" s="765"/>
      <c r="D5" s="765"/>
      <c r="E5" s="765"/>
      <c r="F5" s="765"/>
      <c r="G5" s="765"/>
      <c r="H5" s="765"/>
      <c r="I5" s="766"/>
      <c r="J5" s="762"/>
      <c r="K5" s="762"/>
      <c r="L5" s="762"/>
      <c r="M5" s="762"/>
      <c r="N5" s="762"/>
      <c r="O5" s="762"/>
      <c r="P5" s="762"/>
      <c r="Q5" s="762"/>
      <c r="R5" s="762"/>
      <c r="S5" s="762"/>
      <c r="T5" s="762"/>
      <c r="U5" s="762"/>
      <c r="V5" s="762"/>
      <c r="W5" s="762"/>
      <c r="X5" s="762"/>
      <c r="Y5" s="762"/>
      <c r="Z5" s="762"/>
    </row>
    <row r="6" spans="1:26" ht="14.25" x14ac:dyDescent="0.2">
      <c r="A6" s="767"/>
      <c r="B6" s="770"/>
      <c r="C6" s="771" t="s">
        <v>693</v>
      </c>
      <c r="D6" s="771"/>
      <c r="E6" s="771"/>
      <c r="F6" s="772"/>
      <c r="G6" s="765"/>
      <c r="H6" s="765"/>
      <c r="I6" s="766"/>
      <c r="J6" s="762"/>
      <c r="K6" s="762" t="s">
        <v>19</v>
      </c>
      <c r="L6" s="762" t="s">
        <v>61</v>
      </c>
      <c r="M6" s="773" t="s">
        <v>183</v>
      </c>
      <c r="N6" s="762" t="s">
        <v>184</v>
      </c>
      <c r="O6" s="762" t="s">
        <v>587</v>
      </c>
      <c r="P6" s="762"/>
      <c r="Q6" s="762"/>
      <c r="R6" s="762"/>
      <c r="S6" s="762"/>
      <c r="T6" s="762"/>
      <c r="U6" s="762"/>
      <c r="V6" s="762"/>
      <c r="W6" s="762"/>
      <c r="X6" s="762"/>
      <c r="Y6" s="762"/>
      <c r="Z6" s="762"/>
    </row>
    <row r="7" spans="1:26" ht="14.25" x14ac:dyDescent="0.2">
      <c r="A7" s="767"/>
      <c r="B7" s="774" t="s">
        <v>135</v>
      </c>
      <c r="C7" s="775" t="s">
        <v>694</v>
      </c>
      <c r="D7" s="775"/>
      <c r="E7" s="775"/>
      <c r="F7" s="776"/>
      <c r="G7" s="765"/>
      <c r="H7" s="765"/>
      <c r="I7" s="766"/>
      <c r="J7" s="762"/>
      <c r="K7" s="762"/>
      <c r="L7" s="762">
        <v>2014</v>
      </c>
      <c r="M7" s="777">
        <f>D17/C17</f>
        <v>3.6666666666666665</v>
      </c>
      <c r="N7" s="777">
        <f>E17/D17</f>
        <v>1.4181818181818182</v>
      </c>
      <c r="O7" s="777">
        <f>F17/E17</f>
        <v>1</v>
      </c>
      <c r="P7" s="762"/>
      <c r="Q7" s="762"/>
      <c r="R7" s="762"/>
      <c r="S7" s="762"/>
      <c r="T7" s="762"/>
      <c r="U7" s="762"/>
      <c r="V7" s="762"/>
      <c r="W7" s="762"/>
      <c r="X7" s="762"/>
      <c r="Y7" s="762"/>
      <c r="Z7" s="762"/>
    </row>
    <row r="8" spans="1:26" ht="15" thickBot="1" x14ac:dyDescent="0.25">
      <c r="A8" s="767"/>
      <c r="B8" s="778" t="s">
        <v>83</v>
      </c>
      <c r="C8" s="779">
        <v>12</v>
      </c>
      <c r="D8" s="779">
        <v>24</v>
      </c>
      <c r="E8" s="779">
        <v>36</v>
      </c>
      <c r="F8" s="780">
        <v>48</v>
      </c>
      <c r="G8" s="765"/>
      <c r="H8" s="765"/>
      <c r="I8" s="766"/>
      <c r="J8" s="762"/>
      <c r="K8" s="762"/>
      <c r="L8" s="762">
        <f>L7+1</f>
        <v>2015</v>
      </c>
      <c r="M8" s="777">
        <f>D18/C18</f>
        <v>4.9047619047619051</v>
      </c>
      <c r="N8" s="777">
        <f>E18/D18</f>
        <v>1.3689320388349515</v>
      </c>
      <c r="O8" s="777"/>
      <c r="P8" s="762"/>
      <c r="Q8" s="762"/>
      <c r="R8" s="762"/>
      <c r="S8" s="762"/>
      <c r="T8" s="762"/>
      <c r="U8" s="762"/>
      <c r="V8" s="762"/>
      <c r="W8" s="762"/>
      <c r="X8" s="762"/>
      <c r="Y8" s="762"/>
      <c r="Z8" s="762"/>
    </row>
    <row r="9" spans="1:26" ht="14.25" x14ac:dyDescent="0.2">
      <c r="A9" s="767"/>
      <c r="B9" s="781">
        <v>2014</v>
      </c>
      <c r="C9" s="782">
        <v>300</v>
      </c>
      <c r="D9" s="782">
        <v>650</v>
      </c>
      <c r="E9" s="782">
        <v>785</v>
      </c>
      <c r="F9" s="783">
        <v>785</v>
      </c>
      <c r="G9" s="765"/>
      <c r="H9" s="765"/>
      <c r="I9" s="766"/>
      <c r="J9" s="762"/>
      <c r="K9" s="762"/>
      <c r="L9" s="762">
        <f>L8+1</f>
        <v>2016</v>
      </c>
      <c r="M9" s="777">
        <f>D19/C19</f>
        <v>2.8</v>
      </c>
      <c r="N9" s="777"/>
      <c r="O9" s="777"/>
      <c r="P9" s="762"/>
      <c r="Q9" s="762"/>
      <c r="R9" s="762"/>
      <c r="S9" s="762"/>
      <c r="T9" s="762"/>
      <c r="U9" s="762"/>
      <c r="V9" s="762"/>
      <c r="W9" s="762"/>
      <c r="X9" s="762"/>
      <c r="Y9" s="762"/>
      <c r="Z9" s="762"/>
    </row>
    <row r="10" spans="1:26" ht="14.25" x14ac:dyDescent="0.2">
      <c r="A10" s="767"/>
      <c r="B10" s="784">
        <v>2015</v>
      </c>
      <c r="C10" s="782">
        <v>200</v>
      </c>
      <c r="D10" s="782">
        <v>605</v>
      </c>
      <c r="E10" s="782">
        <v>700</v>
      </c>
      <c r="F10" s="783"/>
      <c r="G10" s="765"/>
      <c r="H10" s="765"/>
      <c r="I10" s="766"/>
      <c r="J10" s="762"/>
      <c r="K10" s="762"/>
      <c r="L10" s="762"/>
      <c r="M10" s="762"/>
      <c r="N10" s="762"/>
      <c r="O10" s="762"/>
      <c r="P10" s="762"/>
      <c r="Q10" s="762"/>
      <c r="R10" s="762"/>
      <c r="S10" s="762"/>
      <c r="T10" s="762"/>
      <c r="U10" s="762"/>
      <c r="V10" s="762"/>
      <c r="W10" s="762"/>
      <c r="X10" s="762"/>
      <c r="Y10" s="762"/>
      <c r="Z10" s="762"/>
    </row>
    <row r="11" spans="1:26" ht="14.25" x14ac:dyDescent="0.2">
      <c r="A11" s="767"/>
      <c r="B11" s="784">
        <v>2016</v>
      </c>
      <c r="C11" s="782">
        <v>205</v>
      </c>
      <c r="D11" s="782">
        <v>330</v>
      </c>
      <c r="E11" s="782"/>
      <c r="F11" s="783"/>
      <c r="G11" s="765"/>
      <c r="H11" s="765"/>
      <c r="I11" s="766"/>
      <c r="J11" s="762"/>
      <c r="K11" s="762"/>
      <c r="L11" s="762" t="s">
        <v>287</v>
      </c>
      <c r="M11" s="777">
        <f>AVERAGE(M7:M9)</f>
        <v>3.7904761904761899</v>
      </c>
      <c r="N11" s="777">
        <f>AVERAGE(N7:N8)</f>
        <v>1.3935569285083849</v>
      </c>
      <c r="O11" s="777">
        <f>O7</f>
        <v>1</v>
      </c>
      <c r="P11" s="762"/>
      <c r="Q11" s="762"/>
      <c r="R11" s="762"/>
      <c r="S11" s="762"/>
      <c r="T11" s="762"/>
      <c r="U11" s="762"/>
      <c r="V11" s="762"/>
      <c r="W11" s="762"/>
      <c r="X11" s="762"/>
      <c r="Y11" s="762"/>
      <c r="Z11" s="762"/>
    </row>
    <row r="12" spans="1:26" ht="15" thickBot="1" x14ac:dyDescent="0.25">
      <c r="A12" s="767"/>
      <c r="B12" s="785">
        <v>2017</v>
      </c>
      <c r="C12" s="786">
        <v>150</v>
      </c>
      <c r="D12" s="786"/>
      <c r="E12" s="786"/>
      <c r="F12" s="787"/>
      <c r="G12" s="765"/>
      <c r="H12" s="765"/>
      <c r="I12" s="766"/>
      <c r="J12" s="762"/>
      <c r="K12" s="762"/>
      <c r="L12" s="762" t="s">
        <v>162</v>
      </c>
      <c r="M12" s="777">
        <f>PRODUCT($M$11:O11)</f>
        <v>5.2822443575841627</v>
      </c>
      <c r="N12" s="777">
        <f>PRODUCT($N$11:O11)</f>
        <v>1.3935569285083849</v>
      </c>
      <c r="O12" s="777">
        <f>PRODUCT($O$11:O11)</f>
        <v>1</v>
      </c>
      <c r="P12" s="762"/>
      <c r="Q12" s="762"/>
      <c r="R12" s="762"/>
      <c r="S12" s="762"/>
      <c r="T12" s="762"/>
      <c r="U12" s="762"/>
      <c r="V12" s="762"/>
      <c r="W12" s="762"/>
      <c r="X12" s="762"/>
      <c r="Y12" s="762"/>
      <c r="Z12" s="762"/>
    </row>
    <row r="13" spans="1:26" ht="15" thickBot="1" x14ac:dyDescent="0.25">
      <c r="A13" s="767"/>
      <c r="B13" s="788"/>
      <c r="C13" s="788"/>
      <c r="D13" s="788"/>
      <c r="E13" s="788"/>
      <c r="F13" s="788"/>
      <c r="G13" s="765"/>
      <c r="H13" s="765"/>
      <c r="I13" s="766"/>
      <c r="J13" s="762"/>
      <c r="K13" s="762"/>
      <c r="L13" s="762"/>
      <c r="M13" s="762"/>
      <c r="N13" s="762"/>
      <c r="O13" s="762"/>
      <c r="P13" s="762"/>
      <c r="Q13" s="762"/>
      <c r="R13" s="762"/>
      <c r="S13" s="762"/>
      <c r="T13" s="762"/>
      <c r="U13" s="762"/>
      <c r="V13" s="762"/>
      <c r="W13" s="762"/>
      <c r="X13" s="762"/>
      <c r="Y13" s="762"/>
      <c r="Z13" s="762"/>
    </row>
    <row r="14" spans="1:26" ht="14.25" x14ac:dyDescent="0.2">
      <c r="A14" s="767"/>
      <c r="B14" s="770"/>
      <c r="C14" s="771" t="s">
        <v>695</v>
      </c>
      <c r="D14" s="771"/>
      <c r="E14" s="771"/>
      <c r="F14" s="772"/>
      <c r="G14" s="765"/>
      <c r="H14" s="765"/>
      <c r="I14" s="766"/>
      <c r="J14" s="762"/>
      <c r="K14" s="762"/>
      <c r="L14" s="762" t="s">
        <v>696</v>
      </c>
      <c r="M14" s="789">
        <f>((C20*M12)-C20)*1000</f>
        <v>64233.66536376244</v>
      </c>
      <c r="N14" s="762"/>
      <c r="O14" s="762"/>
      <c r="P14" s="762"/>
      <c r="Q14" s="762"/>
      <c r="R14" s="762"/>
      <c r="S14" s="762"/>
      <c r="T14" s="762"/>
      <c r="U14" s="762"/>
      <c r="V14" s="762"/>
      <c r="W14" s="762"/>
      <c r="X14" s="762"/>
      <c r="Y14" s="762"/>
      <c r="Z14" s="762"/>
    </row>
    <row r="15" spans="1:26" ht="14.25" x14ac:dyDescent="0.2">
      <c r="A15" s="767"/>
      <c r="B15" s="774" t="s">
        <v>135</v>
      </c>
      <c r="C15" s="775" t="s">
        <v>697</v>
      </c>
      <c r="D15" s="775"/>
      <c r="E15" s="775"/>
      <c r="F15" s="776"/>
      <c r="G15" s="765"/>
      <c r="H15" s="765"/>
      <c r="I15" s="766"/>
      <c r="J15" s="762"/>
      <c r="K15" s="762"/>
      <c r="L15" s="762"/>
      <c r="M15" s="762"/>
      <c r="N15" s="762"/>
      <c r="O15" s="762"/>
      <c r="P15" s="762"/>
      <c r="Q15" s="762"/>
      <c r="R15" s="762"/>
      <c r="S15" s="762"/>
      <c r="T15" s="762"/>
      <c r="U15" s="762"/>
      <c r="V15" s="762"/>
      <c r="W15" s="762"/>
      <c r="X15" s="762"/>
      <c r="Y15" s="762"/>
      <c r="Z15" s="762"/>
    </row>
    <row r="16" spans="1:26" ht="15" thickBot="1" x14ac:dyDescent="0.25">
      <c r="A16" s="767"/>
      <c r="B16" s="778" t="s">
        <v>83</v>
      </c>
      <c r="C16" s="779">
        <v>12</v>
      </c>
      <c r="D16" s="779">
        <v>24</v>
      </c>
      <c r="E16" s="779">
        <v>36</v>
      </c>
      <c r="F16" s="780">
        <v>48</v>
      </c>
      <c r="G16" s="765"/>
      <c r="H16" s="765"/>
      <c r="I16" s="766"/>
      <c r="J16" s="762"/>
      <c r="K16" s="762" t="s">
        <v>21</v>
      </c>
      <c r="L16" s="762" t="s">
        <v>61</v>
      </c>
      <c r="M16" s="762">
        <v>12</v>
      </c>
      <c r="N16" s="762">
        <f>M16+12</f>
        <v>24</v>
      </c>
      <c r="O16" s="762">
        <f>N16+12</f>
        <v>36</v>
      </c>
      <c r="P16" s="762">
        <f>O16+12</f>
        <v>48</v>
      </c>
      <c r="Q16" s="762"/>
      <c r="R16" s="762"/>
      <c r="S16" s="762"/>
      <c r="T16" s="762"/>
      <c r="U16" s="762"/>
      <c r="V16" s="762"/>
      <c r="W16" s="762"/>
      <c r="X16" s="762"/>
      <c r="Y16" s="762"/>
      <c r="Z16" s="762"/>
    </row>
    <row r="17" spans="1:26" ht="14.25" x14ac:dyDescent="0.2">
      <c r="A17" s="767"/>
      <c r="B17" s="790">
        <v>2014</v>
      </c>
      <c r="C17" s="791">
        <v>30</v>
      </c>
      <c r="D17" s="791">
        <v>110</v>
      </c>
      <c r="E17" s="791">
        <v>156</v>
      </c>
      <c r="F17" s="792">
        <v>156</v>
      </c>
      <c r="G17" s="765"/>
      <c r="H17" s="765"/>
      <c r="I17" s="766"/>
      <c r="J17" s="762"/>
      <c r="K17" s="762"/>
      <c r="L17" s="762">
        <v>2014</v>
      </c>
      <c r="M17" s="793">
        <f>C17/C9</f>
        <v>0.1</v>
      </c>
      <c r="N17" s="793">
        <f t="shared" ref="N17:P19" si="0">D17/D9</f>
        <v>0.16923076923076924</v>
      </c>
      <c r="O17" s="793">
        <f t="shared" si="0"/>
        <v>0.19872611464968154</v>
      </c>
      <c r="P17" s="793">
        <f t="shared" si="0"/>
        <v>0.19872611464968154</v>
      </c>
      <c r="Q17" s="793"/>
      <c r="R17" s="762"/>
      <c r="S17" s="762"/>
      <c r="T17" s="762"/>
      <c r="U17" s="762"/>
      <c r="V17" s="762"/>
      <c r="W17" s="762"/>
      <c r="X17" s="762"/>
      <c r="Y17" s="762"/>
      <c r="Z17" s="762"/>
    </row>
    <row r="18" spans="1:26" ht="14.25" x14ac:dyDescent="0.2">
      <c r="A18" s="767"/>
      <c r="B18" s="794">
        <v>2015</v>
      </c>
      <c r="C18" s="782">
        <v>21</v>
      </c>
      <c r="D18" s="782">
        <v>103</v>
      </c>
      <c r="E18" s="782">
        <v>141</v>
      </c>
      <c r="F18" s="783"/>
      <c r="G18" s="765"/>
      <c r="H18" s="765"/>
      <c r="I18" s="766"/>
      <c r="J18" s="762"/>
      <c r="K18" s="762"/>
      <c r="L18" s="762">
        <f>L17+1</f>
        <v>2015</v>
      </c>
      <c r="M18" s="793">
        <f>C18/C10</f>
        <v>0.105</v>
      </c>
      <c r="N18" s="793">
        <f t="shared" si="0"/>
        <v>0.17024793388429751</v>
      </c>
      <c r="O18" s="793">
        <f t="shared" si="0"/>
        <v>0.20142857142857143</v>
      </c>
      <c r="P18" s="793"/>
      <c r="Q18" s="793"/>
      <c r="R18" s="762"/>
      <c r="S18" s="762"/>
      <c r="T18" s="762"/>
      <c r="U18" s="762"/>
      <c r="V18" s="762"/>
      <c r="W18" s="762"/>
      <c r="X18" s="762"/>
      <c r="Y18" s="762"/>
      <c r="Z18" s="762"/>
    </row>
    <row r="19" spans="1:26" ht="14.25" x14ac:dyDescent="0.2">
      <c r="A19" s="767"/>
      <c r="B19" s="794">
        <v>2016</v>
      </c>
      <c r="C19" s="782">
        <v>20</v>
      </c>
      <c r="D19" s="782">
        <v>56</v>
      </c>
      <c r="E19" s="782"/>
      <c r="F19" s="783"/>
      <c r="G19" s="765"/>
      <c r="H19" s="765"/>
      <c r="I19" s="766"/>
      <c r="J19" s="762"/>
      <c r="K19" s="762"/>
      <c r="L19" s="762">
        <f>L18+1</f>
        <v>2016</v>
      </c>
      <c r="M19" s="793">
        <f>C19/C11</f>
        <v>9.7560975609756101E-2</v>
      </c>
      <c r="N19" s="793">
        <f t="shared" si="0"/>
        <v>0.16969696969696971</v>
      </c>
      <c r="O19" s="793"/>
      <c r="P19" s="793"/>
      <c r="Q19" s="793"/>
      <c r="R19" s="762"/>
      <c r="S19" s="762"/>
      <c r="T19" s="762"/>
      <c r="U19" s="762"/>
      <c r="V19" s="762"/>
      <c r="W19" s="762"/>
      <c r="X19" s="762"/>
      <c r="Y19" s="762"/>
      <c r="Z19" s="762"/>
    </row>
    <row r="20" spans="1:26" ht="15" thickBot="1" x14ac:dyDescent="0.25">
      <c r="A20" s="767"/>
      <c r="B20" s="778">
        <v>2017</v>
      </c>
      <c r="C20" s="786">
        <v>15</v>
      </c>
      <c r="D20" s="786"/>
      <c r="E20" s="786"/>
      <c r="F20" s="787"/>
      <c r="G20" s="765"/>
      <c r="H20" s="765"/>
      <c r="I20" s="766"/>
      <c r="J20" s="762"/>
      <c r="K20" s="762"/>
      <c r="L20" s="762">
        <f>L19+1</f>
        <v>2017</v>
      </c>
      <c r="M20" s="793">
        <f>C20/C12</f>
        <v>0.1</v>
      </c>
      <c r="N20" s="793"/>
      <c r="O20" s="793"/>
      <c r="P20" s="793"/>
      <c r="Q20" s="793"/>
      <c r="R20" s="762"/>
      <c r="S20" s="762"/>
      <c r="T20" s="762"/>
      <c r="U20" s="762"/>
      <c r="V20" s="762"/>
      <c r="W20" s="762"/>
      <c r="X20" s="762"/>
      <c r="Y20" s="762"/>
      <c r="Z20" s="762"/>
    </row>
    <row r="21" spans="1:26" ht="15" thickBot="1" x14ac:dyDescent="0.25">
      <c r="A21" s="767"/>
      <c r="B21" s="769"/>
      <c r="C21" s="795"/>
      <c r="D21" s="782"/>
      <c r="E21" s="782"/>
      <c r="F21" s="782"/>
      <c r="G21" s="782"/>
      <c r="H21" s="765"/>
      <c r="I21" s="766"/>
      <c r="J21" s="762"/>
      <c r="K21" s="762"/>
      <c r="L21" s="762"/>
      <c r="M21" s="793"/>
      <c r="N21" s="793"/>
      <c r="O21" s="793"/>
      <c r="P21" s="793"/>
      <c r="Q21" s="793"/>
      <c r="R21" s="762"/>
      <c r="S21" s="762"/>
      <c r="T21" s="762"/>
      <c r="U21" s="762"/>
      <c r="V21" s="762"/>
      <c r="W21" s="762"/>
      <c r="X21" s="762"/>
      <c r="Y21" s="762"/>
      <c r="Z21" s="762"/>
    </row>
    <row r="22" spans="1:26" ht="15" thickBot="1" x14ac:dyDescent="0.25">
      <c r="A22" s="767"/>
      <c r="B22" s="796">
        <v>450000</v>
      </c>
      <c r="C22" s="797" t="s">
        <v>698</v>
      </c>
      <c r="D22" s="798"/>
      <c r="E22" s="798"/>
      <c r="F22" s="798"/>
      <c r="G22" s="798"/>
      <c r="H22" s="799"/>
      <c r="I22" s="766"/>
      <c r="J22" s="762"/>
      <c r="K22" s="762"/>
      <c r="L22" s="762" t="s">
        <v>61</v>
      </c>
      <c r="M22" s="800" t="s">
        <v>183</v>
      </c>
      <c r="N22" s="793" t="s">
        <v>184</v>
      </c>
      <c r="O22" s="793" t="s">
        <v>587</v>
      </c>
      <c r="P22" s="793"/>
      <c r="Q22" s="793"/>
      <c r="R22" s="762"/>
      <c r="S22" s="762"/>
      <c r="T22" s="762"/>
      <c r="U22" s="762"/>
      <c r="V22" s="762"/>
      <c r="W22" s="762"/>
      <c r="X22" s="762"/>
      <c r="Y22" s="762"/>
      <c r="Z22" s="762"/>
    </row>
    <row r="23" spans="1:26" ht="14.25" x14ac:dyDescent="0.2">
      <c r="A23" s="767"/>
      <c r="B23" s="788"/>
      <c r="C23" s="788"/>
      <c r="D23" s="788"/>
      <c r="E23" s="788"/>
      <c r="F23" s="788"/>
      <c r="G23" s="788"/>
      <c r="H23" s="765"/>
      <c r="I23" s="766"/>
      <c r="J23" s="762"/>
      <c r="K23" s="762"/>
      <c r="L23" s="762">
        <v>2014</v>
      </c>
      <c r="M23" s="793">
        <f>N17/M17</f>
        <v>1.6923076923076923</v>
      </c>
      <c r="N23" s="793">
        <f>O17/N17</f>
        <v>1.174290677475391</v>
      </c>
      <c r="O23" s="793">
        <f>P17/O17</f>
        <v>1</v>
      </c>
      <c r="P23" s="793"/>
      <c r="Q23" s="793"/>
      <c r="R23" s="762"/>
      <c r="S23" s="762"/>
      <c r="T23" s="762"/>
      <c r="U23" s="762"/>
      <c r="V23" s="762"/>
      <c r="W23" s="762"/>
      <c r="X23" s="762"/>
      <c r="Y23" s="762"/>
      <c r="Z23" s="762"/>
    </row>
    <row r="24" spans="1:26" ht="14.25" x14ac:dyDescent="0.2">
      <c r="A24" s="767"/>
      <c r="B24" s="765" t="s">
        <v>575</v>
      </c>
      <c r="C24" s="788"/>
      <c r="D24" s="788"/>
      <c r="E24" s="788"/>
      <c r="F24" s="788"/>
      <c r="G24" s="788"/>
      <c r="H24" s="765"/>
      <c r="I24" s="766"/>
      <c r="J24" s="762"/>
      <c r="K24" s="762"/>
      <c r="L24" s="762">
        <f>L23+1</f>
        <v>2015</v>
      </c>
      <c r="M24" s="793">
        <f>N18/M18</f>
        <v>1.6214088941361668</v>
      </c>
      <c r="N24" s="793">
        <f>O18/N18</f>
        <v>1.1831484049930652</v>
      </c>
      <c r="O24" s="793"/>
      <c r="P24" s="793"/>
      <c r="Q24" s="793"/>
      <c r="R24" s="762"/>
      <c r="S24" s="762"/>
      <c r="T24" s="762"/>
      <c r="U24" s="762"/>
      <c r="V24" s="762"/>
      <c r="W24" s="762"/>
      <c r="X24" s="762"/>
      <c r="Y24" s="762"/>
      <c r="Z24" s="762"/>
    </row>
    <row r="25" spans="1:26" ht="14.25" x14ac:dyDescent="0.2">
      <c r="A25" s="767"/>
      <c r="B25" s="765" t="s">
        <v>699</v>
      </c>
      <c r="C25" s="788"/>
      <c r="D25" s="788"/>
      <c r="E25" s="788"/>
      <c r="F25" s="788"/>
      <c r="G25" s="788"/>
      <c r="H25" s="765"/>
      <c r="I25" s="766"/>
      <c r="J25" s="762"/>
      <c r="K25" s="762"/>
      <c r="L25" s="762">
        <f>L24+1</f>
        <v>2016</v>
      </c>
      <c r="M25" s="793">
        <f>N19/M19</f>
        <v>1.7393939393939395</v>
      </c>
      <c r="N25" s="793"/>
      <c r="O25" s="793"/>
      <c r="P25" s="793"/>
      <c r="Q25" s="793"/>
      <c r="R25" s="762"/>
      <c r="S25" s="762"/>
      <c r="T25" s="762"/>
      <c r="U25" s="762"/>
      <c r="V25" s="762"/>
      <c r="W25" s="762"/>
      <c r="X25" s="762"/>
      <c r="Y25" s="762"/>
      <c r="Z25" s="762"/>
    </row>
    <row r="26" spans="1:26" ht="14.25" x14ac:dyDescent="0.2">
      <c r="A26" s="767"/>
      <c r="B26" s="765"/>
      <c r="C26" s="765"/>
      <c r="D26" s="765"/>
      <c r="E26" s="765"/>
      <c r="F26" s="765"/>
      <c r="G26" s="765"/>
      <c r="H26" s="765"/>
      <c r="I26" s="766"/>
      <c r="J26" s="762"/>
      <c r="K26" s="762"/>
      <c r="L26" s="762"/>
      <c r="M26" s="793"/>
      <c r="N26" s="793"/>
      <c r="O26" s="793"/>
      <c r="P26" s="793"/>
      <c r="Q26" s="793"/>
      <c r="R26" s="762"/>
      <c r="S26" s="762"/>
      <c r="T26" s="762"/>
      <c r="U26" s="762"/>
      <c r="V26" s="762"/>
      <c r="W26" s="762"/>
      <c r="X26" s="762"/>
      <c r="Y26" s="762"/>
      <c r="Z26" s="762"/>
    </row>
    <row r="27" spans="1:26" ht="14.25" x14ac:dyDescent="0.2">
      <c r="A27" s="767">
        <v>1</v>
      </c>
      <c r="B27" s="765" t="s">
        <v>46</v>
      </c>
      <c r="C27" s="765"/>
      <c r="D27" s="765"/>
      <c r="E27" s="765"/>
      <c r="F27" s="765"/>
      <c r="G27" s="765"/>
      <c r="H27" s="765"/>
      <c r="I27" s="766"/>
      <c r="J27" s="762"/>
      <c r="K27" s="762"/>
      <c r="L27" s="762"/>
      <c r="M27" s="793"/>
      <c r="N27" s="793"/>
      <c r="O27" s="793"/>
      <c r="P27" s="793"/>
      <c r="Q27" s="793"/>
      <c r="R27" s="762"/>
      <c r="S27" s="762"/>
      <c r="T27" s="762"/>
      <c r="U27" s="762"/>
      <c r="V27" s="762"/>
      <c r="W27" s="762"/>
      <c r="X27" s="762"/>
      <c r="Y27" s="762"/>
      <c r="Z27" s="762"/>
    </row>
    <row r="28" spans="1:26" ht="14.25" x14ac:dyDescent="0.2">
      <c r="A28" s="767"/>
      <c r="B28" s="765" t="s">
        <v>700</v>
      </c>
      <c r="C28" s="765"/>
      <c r="D28" s="765"/>
      <c r="E28" s="765"/>
      <c r="F28" s="765"/>
      <c r="G28" s="765"/>
      <c r="H28" s="765"/>
      <c r="I28" s="766"/>
      <c r="J28" s="801"/>
      <c r="K28" s="801"/>
      <c r="L28" s="762" t="s">
        <v>287</v>
      </c>
      <c r="M28" s="793">
        <f>AVERAGE(M23:M25)</f>
        <v>1.6843701752792661</v>
      </c>
      <c r="N28" s="793">
        <f>AVERAGE(N23:N24)</f>
        <v>1.1787195412342282</v>
      </c>
      <c r="O28" s="793">
        <f>O23</f>
        <v>1</v>
      </c>
      <c r="P28" s="802"/>
      <c r="Q28" s="802"/>
      <c r="R28" s="801"/>
      <c r="S28" s="801"/>
      <c r="T28" s="801"/>
      <c r="U28" s="801"/>
      <c r="V28" s="801"/>
      <c r="W28" s="801"/>
      <c r="X28" s="801"/>
      <c r="Y28" s="801"/>
      <c r="Z28" s="801"/>
    </row>
    <row r="29" spans="1:26" ht="14.25" x14ac:dyDescent="0.2">
      <c r="A29" s="767"/>
      <c r="B29" s="765" t="s">
        <v>701</v>
      </c>
      <c r="C29" s="765"/>
      <c r="D29" s="765"/>
      <c r="E29" s="765"/>
      <c r="F29" s="765"/>
      <c r="G29" s="765"/>
      <c r="H29" s="765"/>
      <c r="I29" s="766"/>
      <c r="J29" s="801"/>
      <c r="K29" s="801"/>
      <c r="L29" s="801" t="s">
        <v>162</v>
      </c>
      <c r="M29" s="802">
        <f>PRODUCT($M$28:O28)</f>
        <v>1.985400040273793</v>
      </c>
      <c r="N29" s="802">
        <f>PRODUCT($N$28:O28)</f>
        <v>1.1787195412342282</v>
      </c>
      <c r="O29" s="802">
        <f>PRODUCT($O$28:O28)</f>
        <v>1</v>
      </c>
      <c r="P29" s="802"/>
      <c r="Q29" s="802"/>
      <c r="R29" s="801"/>
      <c r="S29" s="801"/>
      <c r="T29" s="801"/>
      <c r="U29" s="801"/>
      <c r="V29" s="801"/>
      <c r="W29" s="801"/>
      <c r="X29" s="801"/>
      <c r="Y29" s="801"/>
      <c r="Z29" s="801"/>
    </row>
    <row r="30" spans="1:26" ht="14.25" x14ac:dyDescent="0.2">
      <c r="A30" s="767"/>
      <c r="B30" s="765"/>
      <c r="C30" s="765"/>
      <c r="D30" s="765"/>
      <c r="E30" s="765"/>
      <c r="F30" s="765"/>
      <c r="G30" s="765"/>
      <c r="H30" s="765"/>
      <c r="I30" s="766"/>
      <c r="J30" s="801"/>
      <c r="K30" s="801"/>
      <c r="L30" s="801"/>
      <c r="M30" s="801"/>
      <c r="N30" s="801"/>
      <c r="O30" s="801"/>
      <c r="P30" s="801"/>
      <c r="Q30" s="801"/>
      <c r="R30" s="801"/>
      <c r="S30" s="801"/>
      <c r="T30" s="801"/>
      <c r="U30" s="801"/>
      <c r="V30" s="801"/>
      <c r="W30" s="801"/>
      <c r="X30" s="801"/>
      <c r="Y30" s="801"/>
      <c r="Z30" s="801"/>
    </row>
    <row r="31" spans="1:26" ht="14.25" x14ac:dyDescent="0.2">
      <c r="A31" s="767">
        <v>1.5</v>
      </c>
      <c r="B31" s="765" t="s">
        <v>21</v>
      </c>
      <c r="C31" s="803"/>
      <c r="D31" s="803"/>
      <c r="E31" s="803"/>
      <c r="F31" s="803"/>
      <c r="G31" s="803"/>
      <c r="H31" s="803"/>
      <c r="I31" s="804"/>
      <c r="J31" s="801"/>
      <c r="K31" s="801"/>
      <c r="L31" s="801" t="s">
        <v>702</v>
      </c>
      <c r="M31" s="805">
        <f>((M20*M29)*B22)-(1000*C20)</f>
        <v>74343.001812320697</v>
      </c>
      <c r="N31" s="801"/>
      <c r="O31" s="801"/>
      <c r="P31" s="801"/>
      <c r="Q31" s="801"/>
      <c r="R31" s="801"/>
      <c r="S31" s="801"/>
      <c r="T31" s="801"/>
      <c r="U31" s="801"/>
      <c r="V31" s="801"/>
      <c r="W31" s="801"/>
      <c r="X31" s="801"/>
      <c r="Y31" s="801"/>
      <c r="Z31" s="801"/>
    </row>
    <row r="32" spans="1:26" ht="14.25" x14ac:dyDescent="0.2">
      <c r="A32" s="806"/>
      <c r="B32" s="803" t="s">
        <v>703</v>
      </c>
      <c r="C32" s="803"/>
      <c r="D32" s="803"/>
      <c r="E32" s="803"/>
      <c r="F32" s="803"/>
      <c r="G32" s="803"/>
      <c r="H32" s="803"/>
      <c r="I32" s="804"/>
      <c r="J32" s="801"/>
      <c r="K32" s="801"/>
      <c r="L32" s="801"/>
      <c r="M32" s="801"/>
      <c r="N32" s="801"/>
      <c r="O32" s="801"/>
      <c r="P32" s="801"/>
      <c r="Q32" s="801"/>
      <c r="R32" s="801"/>
      <c r="S32" s="801"/>
      <c r="T32" s="801"/>
      <c r="U32" s="801"/>
      <c r="V32" s="801"/>
      <c r="W32" s="801"/>
      <c r="X32" s="801"/>
      <c r="Y32" s="801"/>
      <c r="Z32" s="801"/>
    </row>
    <row r="33" spans="1:26" ht="14.25" x14ac:dyDescent="0.2">
      <c r="A33" s="806"/>
      <c r="B33" s="803"/>
      <c r="C33" s="803"/>
      <c r="D33" s="803"/>
      <c r="E33" s="803"/>
      <c r="F33" s="803"/>
      <c r="G33" s="803"/>
      <c r="H33" s="803"/>
      <c r="I33" s="804"/>
      <c r="J33" s="801"/>
      <c r="K33" s="801" t="s">
        <v>52</v>
      </c>
      <c r="L33" s="801" t="s">
        <v>704</v>
      </c>
      <c r="M33" s="801"/>
      <c r="N33" s="801"/>
      <c r="O33" s="801"/>
      <c r="P33" s="801"/>
      <c r="Q33" s="801"/>
      <c r="R33" s="801"/>
      <c r="S33" s="801"/>
      <c r="T33" s="801"/>
      <c r="U33" s="801"/>
      <c r="V33" s="801"/>
      <c r="W33" s="801"/>
      <c r="X33" s="801"/>
      <c r="Y33" s="801"/>
      <c r="Z33" s="801"/>
    </row>
    <row r="34" spans="1:26" ht="14.25" x14ac:dyDescent="0.2">
      <c r="A34" s="767">
        <v>0.25</v>
      </c>
      <c r="B34" s="765" t="s">
        <v>52</v>
      </c>
      <c r="C34" s="803"/>
      <c r="D34" s="803"/>
      <c r="E34" s="803"/>
      <c r="F34" s="803"/>
      <c r="G34" s="803"/>
      <c r="H34" s="803"/>
      <c r="I34" s="804"/>
      <c r="J34" s="801"/>
      <c r="K34" s="801"/>
      <c r="L34" s="801"/>
      <c r="M34" s="801"/>
      <c r="N34" s="801"/>
      <c r="O34" s="801"/>
      <c r="P34" s="801"/>
      <c r="Q34" s="801"/>
      <c r="R34" s="801"/>
      <c r="S34" s="801"/>
      <c r="T34" s="801"/>
      <c r="U34" s="801"/>
      <c r="V34" s="801"/>
      <c r="W34" s="801"/>
      <c r="X34" s="801"/>
      <c r="Y34" s="801"/>
      <c r="Z34" s="801"/>
    </row>
    <row r="35" spans="1:26" ht="14.25" x14ac:dyDescent="0.2">
      <c r="A35" s="806"/>
      <c r="B35" s="803" t="s">
        <v>705</v>
      </c>
      <c r="C35" s="803"/>
      <c r="D35" s="803"/>
      <c r="E35" s="803"/>
      <c r="F35" s="803"/>
      <c r="G35" s="803"/>
      <c r="H35" s="803"/>
      <c r="I35" s="804"/>
      <c r="J35" s="762"/>
      <c r="K35" s="762"/>
      <c r="L35" s="762"/>
      <c r="M35" s="762"/>
      <c r="N35" s="762"/>
      <c r="O35" s="762"/>
      <c r="P35" s="762"/>
      <c r="Q35" s="762"/>
      <c r="R35" s="762"/>
      <c r="S35" s="762"/>
      <c r="T35" s="762"/>
      <c r="U35" s="762"/>
      <c r="V35" s="762"/>
      <c r="W35" s="762"/>
      <c r="X35" s="762"/>
      <c r="Y35" s="762"/>
      <c r="Z35" s="762"/>
    </row>
    <row r="36" spans="1:26" ht="14.25" x14ac:dyDescent="0.2">
      <c r="A36" s="806"/>
      <c r="B36" s="803" t="s">
        <v>706</v>
      </c>
      <c r="C36" s="803"/>
      <c r="D36" s="803"/>
      <c r="E36" s="803"/>
      <c r="F36" s="803"/>
      <c r="G36" s="803"/>
      <c r="H36" s="803"/>
      <c r="I36" s="804"/>
      <c r="J36" s="762"/>
      <c r="K36" s="762"/>
      <c r="L36" s="762"/>
      <c r="M36" s="762"/>
      <c r="N36" s="762"/>
      <c r="O36" s="762"/>
      <c r="P36" s="762"/>
      <c r="Q36" s="762"/>
      <c r="R36" s="762"/>
      <c r="S36" s="762"/>
      <c r="T36" s="762"/>
      <c r="U36" s="762"/>
      <c r="V36" s="762"/>
      <c r="W36" s="762"/>
      <c r="X36" s="762"/>
      <c r="Y36" s="762"/>
      <c r="Z36" s="762"/>
    </row>
    <row r="37" spans="1:26" ht="15" thickBot="1" x14ac:dyDescent="0.25">
      <c r="A37" s="807"/>
      <c r="B37" s="808"/>
      <c r="C37" s="808"/>
      <c r="D37" s="808"/>
      <c r="E37" s="808"/>
      <c r="F37" s="808"/>
      <c r="G37" s="808"/>
      <c r="H37" s="808"/>
      <c r="I37" s="809"/>
      <c r="J37" s="762"/>
      <c r="K37" s="762"/>
      <c r="L37" s="762"/>
      <c r="M37" s="762"/>
      <c r="N37" s="762"/>
      <c r="O37" s="762"/>
      <c r="P37" s="762"/>
      <c r="Q37" s="762"/>
      <c r="R37" s="762"/>
      <c r="S37" s="762"/>
      <c r="T37" s="762"/>
      <c r="U37" s="762"/>
      <c r="V37" s="762"/>
      <c r="W37" s="762"/>
      <c r="X37" s="762"/>
      <c r="Y37" s="762"/>
      <c r="Z37" s="762"/>
    </row>
    <row r="38" spans="1:26" ht="14.25" x14ac:dyDescent="0.2">
      <c r="A38" s="762"/>
      <c r="B38" s="762"/>
      <c r="C38" s="762"/>
      <c r="D38" s="762"/>
      <c r="E38" s="762"/>
      <c r="F38" s="762"/>
      <c r="G38" s="762"/>
      <c r="H38" s="762"/>
      <c r="I38" s="762"/>
      <c r="J38" s="762"/>
      <c r="K38" s="762"/>
      <c r="L38" s="762"/>
      <c r="M38" s="762"/>
      <c r="N38" s="762"/>
      <c r="O38" s="762"/>
      <c r="P38" s="762"/>
      <c r="Q38" s="762"/>
      <c r="R38" s="762"/>
      <c r="S38" s="762"/>
      <c r="T38" s="762"/>
      <c r="U38" s="762"/>
      <c r="V38" s="762"/>
      <c r="W38" s="762"/>
      <c r="X38" s="762"/>
      <c r="Y38" s="762"/>
      <c r="Z38" s="762"/>
    </row>
    <row r="39" spans="1:26" ht="14.25" x14ac:dyDescent="0.2">
      <c r="A39" s="762"/>
      <c r="B39" s="762"/>
      <c r="C39" s="762"/>
      <c r="D39" s="762"/>
      <c r="E39" s="762"/>
      <c r="F39" s="762"/>
      <c r="G39" s="762"/>
      <c r="H39" s="762"/>
      <c r="I39" s="762"/>
      <c r="J39" s="762"/>
      <c r="K39" s="762"/>
      <c r="L39" s="762"/>
      <c r="M39" s="762"/>
      <c r="N39" s="762"/>
      <c r="O39" s="762"/>
      <c r="P39" s="762"/>
      <c r="Q39" s="762"/>
      <c r="R39" s="762"/>
      <c r="S39" s="762"/>
      <c r="T39" s="762"/>
      <c r="U39" s="762"/>
      <c r="V39" s="762"/>
      <c r="W39" s="762"/>
      <c r="X39" s="762"/>
      <c r="Y39" s="762"/>
      <c r="Z39" s="762"/>
    </row>
    <row r="40" spans="1:26" ht="14.25" x14ac:dyDescent="0.2">
      <c r="A40" s="762"/>
      <c r="B40" s="762"/>
      <c r="C40" s="762"/>
      <c r="D40" s="762"/>
      <c r="E40" s="762"/>
      <c r="F40" s="762"/>
      <c r="G40" s="762"/>
      <c r="H40" s="762"/>
      <c r="I40" s="762"/>
      <c r="J40" s="762"/>
      <c r="K40" s="762"/>
      <c r="L40" s="762"/>
      <c r="M40" s="762"/>
      <c r="N40" s="762"/>
      <c r="O40" s="762"/>
      <c r="P40" s="762"/>
      <c r="Q40" s="762"/>
      <c r="R40" s="762"/>
      <c r="S40" s="762"/>
      <c r="T40" s="762"/>
      <c r="U40" s="762"/>
      <c r="V40" s="762"/>
      <c r="W40" s="762"/>
      <c r="X40" s="762"/>
      <c r="Y40" s="762"/>
      <c r="Z40" s="762"/>
    </row>
    <row r="41" spans="1:26" ht="14.25" x14ac:dyDescent="0.2">
      <c r="A41" s="762"/>
      <c r="B41" s="762"/>
      <c r="C41" s="762"/>
      <c r="D41" s="762"/>
      <c r="E41" s="762"/>
      <c r="F41" s="762"/>
      <c r="G41" s="762"/>
      <c r="H41" s="762"/>
      <c r="I41" s="762"/>
      <c r="J41" s="762"/>
      <c r="K41" s="762"/>
      <c r="L41" s="762"/>
      <c r="M41" s="762"/>
      <c r="N41" s="762"/>
      <c r="O41" s="762"/>
      <c r="P41" s="762"/>
      <c r="Q41" s="762"/>
      <c r="R41" s="762"/>
      <c r="S41" s="762"/>
      <c r="T41" s="762"/>
      <c r="U41" s="762"/>
      <c r="V41" s="762"/>
      <c r="W41" s="762"/>
      <c r="X41" s="762"/>
      <c r="Y41" s="762"/>
      <c r="Z41" s="762"/>
    </row>
    <row r="42" spans="1:26" ht="14.25" x14ac:dyDescent="0.2">
      <c r="A42" s="762"/>
      <c r="B42" s="762"/>
      <c r="C42" s="762"/>
      <c r="D42" s="762"/>
      <c r="E42" s="762"/>
      <c r="F42" s="762"/>
      <c r="G42" s="762"/>
      <c r="H42" s="762"/>
      <c r="I42" s="762"/>
      <c r="J42" s="762"/>
      <c r="K42" s="762"/>
      <c r="L42" s="762"/>
      <c r="M42" s="762"/>
      <c r="N42" s="762"/>
      <c r="O42" s="762"/>
      <c r="P42" s="762"/>
      <c r="Q42" s="762"/>
      <c r="R42" s="762"/>
      <c r="S42" s="762"/>
      <c r="T42" s="762"/>
      <c r="U42" s="762"/>
      <c r="V42" s="762"/>
      <c r="W42" s="762"/>
      <c r="X42" s="762"/>
      <c r="Y42" s="762"/>
      <c r="Z42" s="762"/>
    </row>
    <row r="43" spans="1:26" ht="14.25" x14ac:dyDescent="0.2">
      <c r="A43" s="762"/>
      <c r="B43" s="762"/>
      <c r="C43" s="762"/>
      <c r="D43" s="762"/>
      <c r="E43" s="762"/>
      <c r="F43" s="762"/>
      <c r="G43" s="762"/>
      <c r="H43" s="762"/>
      <c r="I43" s="762"/>
      <c r="J43" s="762"/>
      <c r="K43" s="762"/>
      <c r="L43" s="762"/>
      <c r="M43" s="762"/>
      <c r="N43" s="762"/>
      <c r="O43" s="762"/>
      <c r="P43" s="762"/>
      <c r="Q43" s="762"/>
      <c r="R43" s="762"/>
      <c r="S43" s="762"/>
      <c r="T43" s="762"/>
      <c r="U43" s="762"/>
      <c r="V43" s="762"/>
      <c r="W43" s="762"/>
      <c r="X43" s="762"/>
      <c r="Y43" s="762"/>
      <c r="Z43" s="762"/>
    </row>
    <row r="44" spans="1:26" ht="14.25" x14ac:dyDescent="0.2">
      <c r="A44" s="762"/>
      <c r="B44" s="762"/>
      <c r="C44" s="762"/>
      <c r="D44" s="762"/>
      <c r="E44" s="762"/>
      <c r="F44" s="762"/>
      <c r="G44" s="762"/>
      <c r="H44" s="762"/>
      <c r="I44" s="762"/>
      <c r="J44" s="762"/>
      <c r="K44" s="762"/>
      <c r="L44" s="762"/>
      <c r="M44" s="762"/>
      <c r="N44" s="762"/>
      <c r="O44" s="762"/>
      <c r="P44" s="762"/>
      <c r="Q44" s="762"/>
      <c r="R44" s="762"/>
      <c r="S44" s="762"/>
      <c r="T44" s="762"/>
      <c r="U44" s="762"/>
      <c r="V44" s="762"/>
      <c r="W44" s="762"/>
      <c r="X44" s="762"/>
      <c r="Y44" s="762"/>
      <c r="Z44" s="762"/>
    </row>
    <row r="45" spans="1:26" ht="14.25" x14ac:dyDescent="0.2">
      <c r="A45" s="762"/>
      <c r="B45" s="762"/>
      <c r="C45" s="762"/>
      <c r="D45" s="762"/>
      <c r="E45" s="762"/>
      <c r="F45" s="762"/>
      <c r="G45" s="762"/>
      <c r="H45" s="762"/>
      <c r="I45" s="762"/>
      <c r="J45" s="762"/>
      <c r="K45" s="762"/>
      <c r="L45" s="762"/>
      <c r="M45" s="762"/>
      <c r="N45" s="762"/>
      <c r="O45" s="762"/>
      <c r="P45" s="762"/>
      <c r="Q45" s="762"/>
      <c r="R45" s="762"/>
      <c r="S45" s="762"/>
      <c r="T45" s="762"/>
      <c r="U45" s="762"/>
      <c r="V45" s="762"/>
      <c r="W45" s="762"/>
      <c r="X45" s="762"/>
      <c r="Y45" s="762"/>
      <c r="Z45" s="762"/>
    </row>
    <row r="46" spans="1:26" ht="14.25" x14ac:dyDescent="0.2">
      <c r="A46" s="762"/>
      <c r="B46" s="762"/>
      <c r="C46" s="762"/>
      <c r="D46" s="762"/>
      <c r="E46" s="762"/>
      <c r="F46" s="762"/>
      <c r="G46" s="762"/>
      <c r="H46" s="762"/>
      <c r="I46" s="762"/>
      <c r="J46" s="762"/>
      <c r="K46" s="762"/>
      <c r="L46" s="762"/>
      <c r="M46" s="762"/>
      <c r="N46" s="762"/>
      <c r="O46" s="762"/>
      <c r="P46" s="762"/>
      <c r="Q46" s="762"/>
      <c r="R46" s="762"/>
      <c r="S46" s="762"/>
      <c r="T46" s="762"/>
      <c r="U46" s="762"/>
      <c r="V46" s="762"/>
      <c r="W46" s="762"/>
      <c r="X46" s="762"/>
      <c r="Y46" s="762"/>
      <c r="Z46" s="762"/>
    </row>
    <row r="47" spans="1:26" ht="14.25" x14ac:dyDescent="0.2">
      <c r="A47" s="762"/>
      <c r="B47" s="762"/>
      <c r="C47" s="762"/>
      <c r="D47" s="762"/>
      <c r="E47" s="762"/>
      <c r="F47" s="762"/>
      <c r="G47" s="762"/>
      <c r="H47" s="762"/>
      <c r="I47" s="762"/>
      <c r="J47" s="762"/>
      <c r="K47" s="762"/>
      <c r="L47" s="762"/>
      <c r="M47" s="762"/>
      <c r="N47" s="762"/>
      <c r="O47" s="762"/>
      <c r="P47" s="762"/>
      <c r="Q47" s="762"/>
      <c r="R47" s="762"/>
      <c r="S47" s="762"/>
      <c r="T47" s="762"/>
      <c r="U47" s="762"/>
      <c r="V47" s="762"/>
      <c r="W47" s="762"/>
      <c r="X47" s="762"/>
      <c r="Y47" s="762"/>
      <c r="Z47" s="762"/>
    </row>
    <row r="48" spans="1:26" ht="14.25" x14ac:dyDescent="0.2">
      <c r="A48" s="762"/>
      <c r="B48" s="762"/>
      <c r="C48" s="762"/>
      <c r="D48" s="762"/>
      <c r="E48" s="762"/>
      <c r="F48" s="762"/>
      <c r="G48" s="762"/>
      <c r="H48" s="762"/>
      <c r="I48" s="762"/>
      <c r="J48" s="762"/>
      <c r="K48" s="762"/>
      <c r="L48" s="762"/>
      <c r="M48" s="762"/>
      <c r="N48" s="762"/>
      <c r="O48" s="762"/>
      <c r="P48" s="762"/>
      <c r="Q48" s="762"/>
      <c r="R48" s="762"/>
      <c r="S48" s="762"/>
      <c r="T48" s="762"/>
      <c r="U48" s="762"/>
      <c r="V48" s="762"/>
      <c r="W48" s="762"/>
      <c r="X48" s="762"/>
      <c r="Y48" s="762"/>
      <c r="Z48" s="762"/>
    </row>
    <row r="49" spans="1:26" ht="14.25" x14ac:dyDescent="0.2">
      <c r="A49" s="762"/>
      <c r="B49" s="762"/>
      <c r="C49" s="762"/>
      <c r="D49" s="762"/>
      <c r="E49" s="762"/>
      <c r="F49" s="762"/>
      <c r="G49" s="762"/>
      <c r="H49" s="762"/>
      <c r="I49" s="762"/>
      <c r="J49" s="762"/>
      <c r="K49" s="762"/>
      <c r="L49" s="762"/>
      <c r="M49" s="762"/>
      <c r="N49" s="762"/>
      <c r="O49" s="762"/>
      <c r="P49" s="762"/>
      <c r="Q49" s="762"/>
      <c r="R49" s="762"/>
      <c r="S49" s="762"/>
      <c r="T49" s="762"/>
      <c r="U49" s="762"/>
      <c r="V49" s="762"/>
      <c r="W49" s="762"/>
      <c r="X49" s="762"/>
      <c r="Y49" s="762"/>
      <c r="Z49" s="762"/>
    </row>
    <row r="50" spans="1:26" ht="14.25" x14ac:dyDescent="0.2">
      <c r="A50" s="762"/>
      <c r="B50" s="762"/>
      <c r="C50" s="762"/>
      <c r="D50" s="762"/>
      <c r="E50" s="762"/>
      <c r="F50" s="762"/>
      <c r="G50" s="762"/>
      <c r="H50" s="762"/>
      <c r="I50" s="762"/>
      <c r="J50" s="762"/>
      <c r="K50" s="762"/>
      <c r="L50" s="762"/>
      <c r="M50" s="762"/>
      <c r="N50" s="762"/>
      <c r="O50" s="762"/>
      <c r="P50" s="762"/>
      <c r="Q50" s="762"/>
      <c r="R50" s="762"/>
      <c r="S50" s="762"/>
      <c r="T50" s="762"/>
      <c r="U50" s="762"/>
      <c r="V50" s="762"/>
      <c r="W50" s="762"/>
      <c r="X50" s="762"/>
      <c r="Y50" s="762"/>
      <c r="Z50" s="762"/>
    </row>
    <row r="51" spans="1:26" ht="14.25" x14ac:dyDescent="0.2">
      <c r="A51" s="762"/>
      <c r="B51" s="762"/>
      <c r="C51" s="762"/>
      <c r="D51" s="762"/>
      <c r="E51" s="762"/>
      <c r="F51" s="762"/>
      <c r="G51" s="762"/>
      <c r="H51" s="762"/>
      <c r="I51" s="762"/>
      <c r="J51" s="762"/>
      <c r="K51" s="762"/>
      <c r="L51" s="762"/>
      <c r="M51" s="762"/>
      <c r="N51" s="762"/>
      <c r="O51" s="762"/>
      <c r="P51" s="762"/>
      <c r="Q51" s="762"/>
      <c r="R51" s="762"/>
      <c r="S51" s="762"/>
      <c r="T51" s="762"/>
      <c r="U51" s="762"/>
      <c r="V51" s="762"/>
      <c r="W51" s="762"/>
      <c r="X51" s="762"/>
      <c r="Y51" s="762"/>
      <c r="Z51" s="762"/>
    </row>
    <row r="52" spans="1:26" ht="14.25" x14ac:dyDescent="0.2">
      <c r="A52" s="762"/>
      <c r="B52" s="762"/>
      <c r="C52" s="762"/>
      <c r="D52" s="762"/>
      <c r="E52" s="762"/>
      <c r="F52" s="762"/>
      <c r="G52" s="762"/>
      <c r="H52" s="762"/>
      <c r="I52" s="762"/>
      <c r="J52" s="762"/>
      <c r="K52" s="762"/>
      <c r="L52" s="762"/>
      <c r="M52" s="762"/>
      <c r="N52" s="762"/>
      <c r="O52" s="762"/>
      <c r="P52" s="762"/>
      <c r="Q52" s="762"/>
      <c r="R52" s="762"/>
      <c r="S52" s="762"/>
      <c r="T52" s="762"/>
      <c r="U52" s="762"/>
      <c r="V52" s="762"/>
      <c r="W52" s="762"/>
      <c r="X52" s="762"/>
      <c r="Y52" s="762"/>
      <c r="Z52" s="762"/>
    </row>
    <row r="53" spans="1:26" ht="14.25" x14ac:dyDescent="0.2">
      <c r="A53" s="762"/>
      <c r="B53" s="762"/>
      <c r="C53" s="762"/>
      <c r="D53" s="762"/>
      <c r="E53" s="762"/>
      <c r="F53" s="762"/>
      <c r="G53" s="762"/>
      <c r="H53" s="762"/>
      <c r="I53" s="762"/>
      <c r="J53" s="762"/>
      <c r="K53" s="762"/>
      <c r="L53" s="762"/>
      <c r="M53" s="762"/>
      <c r="N53" s="762"/>
      <c r="O53" s="762"/>
      <c r="P53" s="762"/>
      <c r="Q53" s="762"/>
      <c r="R53" s="762"/>
      <c r="S53" s="762"/>
      <c r="T53" s="762"/>
      <c r="U53" s="762"/>
      <c r="V53" s="762"/>
      <c r="W53" s="762"/>
      <c r="X53" s="762"/>
      <c r="Y53" s="762"/>
      <c r="Z53" s="762"/>
    </row>
    <row r="54" spans="1:26" ht="14.25" x14ac:dyDescent="0.2">
      <c r="A54" s="762"/>
      <c r="B54" s="762"/>
      <c r="C54" s="762"/>
      <c r="D54" s="762"/>
      <c r="E54" s="762"/>
      <c r="F54" s="762"/>
      <c r="G54" s="762"/>
      <c r="H54" s="762"/>
      <c r="I54" s="762"/>
      <c r="J54" s="762"/>
      <c r="K54" s="762"/>
      <c r="L54" s="762"/>
      <c r="M54" s="762"/>
      <c r="N54" s="762"/>
      <c r="O54" s="762"/>
      <c r="P54" s="762"/>
      <c r="Q54" s="762"/>
      <c r="R54" s="762"/>
      <c r="S54" s="762"/>
      <c r="T54" s="762"/>
      <c r="U54" s="762"/>
      <c r="V54" s="762"/>
      <c r="W54" s="762"/>
      <c r="X54" s="762"/>
      <c r="Y54" s="762"/>
      <c r="Z54" s="762"/>
    </row>
    <row r="55" spans="1:26" ht="14.25" x14ac:dyDescent="0.2">
      <c r="A55" s="762"/>
      <c r="B55" s="762"/>
      <c r="C55" s="762"/>
      <c r="D55" s="762"/>
      <c r="E55" s="762"/>
      <c r="F55" s="762"/>
      <c r="G55" s="762"/>
      <c r="H55" s="762"/>
      <c r="I55" s="762"/>
      <c r="J55" s="762"/>
      <c r="K55" s="762"/>
      <c r="L55" s="762"/>
      <c r="M55" s="762"/>
      <c r="N55" s="762"/>
      <c r="O55" s="762"/>
      <c r="P55" s="762"/>
      <c r="Q55" s="762"/>
      <c r="R55" s="762"/>
      <c r="S55" s="762"/>
      <c r="T55" s="762"/>
      <c r="U55" s="762"/>
      <c r="V55" s="762"/>
      <c r="W55" s="762"/>
      <c r="X55" s="762"/>
      <c r="Y55" s="762"/>
      <c r="Z55" s="762"/>
    </row>
    <row r="56" spans="1:26" ht="14.25" x14ac:dyDescent="0.2">
      <c r="A56" s="762"/>
      <c r="B56" s="762"/>
      <c r="C56" s="762"/>
      <c r="D56" s="762"/>
      <c r="E56" s="762"/>
      <c r="F56" s="762"/>
      <c r="G56" s="762"/>
      <c r="H56" s="762"/>
      <c r="I56" s="762"/>
      <c r="J56" s="762"/>
      <c r="K56" s="762"/>
      <c r="L56" s="762"/>
      <c r="M56" s="762"/>
      <c r="N56" s="762"/>
      <c r="O56" s="762"/>
      <c r="P56" s="762"/>
      <c r="Q56" s="762"/>
      <c r="R56" s="762"/>
      <c r="S56" s="762"/>
      <c r="T56" s="762"/>
      <c r="U56" s="762"/>
      <c r="V56" s="762"/>
      <c r="W56" s="762"/>
      <c r="X56" s="762"/>
      <c r="Y56" s="762"/>
      <c r="Z56" s="762"/>
    </row>
    <row r="57" spans="1:26" ht="14.25" x14ac:dyDescent="0.2">
      <c r="A57" s="762"/>
      <c r="B57" s="762"/>
      <c r="C57" s="762"/>
      <c r="D57" s="762"/>
      <c r="E57" s="762"/>
      <c r="F57" s="762"/>
      <c r="G57" s="762"/>
      <c r="H57" s="762"/>
      <c r="I57" s="762"/>
      <c r="J57" s="762"/>
      <c r="K57" s="762"/>
      <c r="L57" s="762"/>
      <c r="M57" s="762"/>
      <c r="N57" s="762"/>
      <c r="O57" s="762"/>
      <c r="P57" s="762"/>
      <c r="Q57" s="762"/>
      <c r="R57" s="762"/>
      <c r="S57" s="762"/>
      <c r="T57" s="762"/>
      <c r="U57" s="762"/>
      <c r="V57" s="762"/>
      <c r="W57" s="762"/>
      <c r="X57" s="762"/>
      <c r="Y57" s="762"/>
      <c r="Z57" s="762"/>
    </row>
    <row r="58" spans="1:26" ht="14.25" x14ac:dyDescent="0.2">
      <c r="A58" s="762"/>
      <c r="B58" s="762"/>
      <c r="C58" s="762"/>
      <c r="D58" s="762"/>
      <c r="E58" s="762"/>
      <c r="F58" s="762"/>
      <c r="G58" s="762"/>
      <c r="H58" s="762"/>
      <c r="I58" s="762"/>
      <c r="J58" s="762"/>
      <c r="K58" s="762"/>
      <c r="L58" s="762"/>
      <c r="M58" s="762"/>
      <c r="N58" s="762"/>
      <c r="O58" s="762"/>
      <c r="P58" s="762"/>
      <c r="Q58" s="762"/>
      <c r="R58" s="762"/>
      <c r="S58" s="762"/>
      <c r="T58" s="762"/>
      <c r="U58" s="762"/>
      <c r="V58" s="762"/>
      <c r="W58" s="762"/>
      <c r="X58" s="762"/>
      <c r="Y58" s="762"/>
      <c r="Z58" s="762"/>
    </row>
    <row r="59" spans="1:26" ht="14.25" x14ac:dyDescent="0.2">
      <c r="A59" s="762"/>
      <c r="B59" s="762"/>
      <c r="C59" s="762"/>
      <c r="D59" s="762"/>
      <c r="E59" s="762"/>
      <c r="F59" s="762"/>
      <c r="G59" s="762"/>
      <c r="H59" s="762"/>
      <c r="I59" s="762"/>
      <c r="J59" s="762"/>
      <c r="K59" s="762"/>
      <c r="L59" s="762"/>
      <c r="M59" s="762"/>
      <c r="N59" s="762"/>
      <c r="O59" s="762"/>
      <c r="P59" s="762"/>
      <c r="Q59" s="762"/>
      <c r="R59" s="762"/>
      <c r="S59" s="762"/>
      <c r="T59" s="762"/>
      <c r="U59" s="762"/>
      <c r="V59" s="762"/>
      <c r="W59" s="762"/>
      <c r="X59" s="762"/>
      <c r="Y59" s="762"/>
      <c r="Z59" s="762"/>
    </row>
    <row r="60" spans="1:26" ht="14.25" x14ac:dyDescent="0.2">
      <c r="A60" s="762"/>
      <c r="B60" s="762"/>
      <c r="C60" s="762"/>
      <c r="D60" s="762"/>
      <c r="E60" s="762"/>
      <c r="F60" s="762"/>
      <c r="G60" s="762"/>
      <c r="H60" s="762"/>
      <c r="I60" s="762"/>
      <c r="J60" s="762"/>
      <c r="K60" s="762"/>
      <c r="L60" s="762"/>
      <c r="M60" s="762"/>
      <c r="N60" s="762"/>
      <c r="O60" s="762"/>
      <c r="P60" s="762"/>
      <c r="Q60" s="762"/>
      <c r="R60" s="762"/>
      <c r="S60" s="762"/>
      <c r="T60" s="762"/>
      <c r="U60" s="762"/>
      <c r="V60" s="762"/>
      <c r="W60" s="762"/>
      <c r="X60" s="762"/>
      <c r="Y60" s="762"/>
      <c r="Z60" s="762"/>
    </row>
    <row r="61" spans="1:26" ht="14.25" x14ac:dyDescent="0.2">
      <c r="A61" s="762"/>
      <c r="B61" s="762"/>
      <c r="C61" s="762"/>
      <c r="D61" s="762"/>
      <c r="E61" s="762"/>
      <c r="F61" s="762"/>
      <c r="G61" s="762"/>
      <c r="H61" s="762"/>
      <c r="I61" s="762"/>
      <c r="J61" s="762"/>
      <c r="K61" s="762"/>
      <c r="L61" s="762"/>
      <c r="M61" s="762"/>
      <c r="N61" s="762"/>
      <c r="O61" s="762"/>
      <c r="P61" s="762"/>
      <c r="Q61" s="762"/>
      <c r="R61" s="762"/>
      <c r="S61" s="762"/>
      <c r="T61" s="762"/>
      <c r="U61" s="762"/>
      <c r="V61" s="762"/>
      <c r="W61" s="762"/>
      <c r="X61" s="762"/>
      <c r="Y61" s="762"/>
      <c r="Z61" s="762"/>
    </row>
    <row r="62" spans="1:26" ht="14.25" x14ac:dyDescent="0.2">
      <c r="A62" s="762"/>
      <c r="B62" s="762"/>
      <c r="C62" s="762"/>
      <c r="D62" s="762"/>
      <c r="E62" s="762"/>
      <c r="F62" s="762"/>
      <c r="G62" s="762"/>
      <c r="H62" s="762"/>
      <c r="I62" s="762"/>
      <c r="J62" s="762"/>
      <c r="K62" s="762"/>
      <c r="L62" s="762"/>
      <c r="M62" s="762"/>
      <c r="N62" s="762"/>
      <c r="O62" s="762"/>
      <c r="P62" s="762"/>
      <c r="Q62" s="762"/>
      <c r="R62" s="762"/>
      <c r="S62" s="762"/>
      <c r="T62" s="762"/>
      <c r="U62" s="762"/>
      <c r="V62" s="762"/>
      <c r="W62" s="762"/>
      <c r="X62" s="762"/>
      <c r="Y62" s="762"/>
      <c r="Z62" s="762"/>
    </row>
    <row r="63" spans="1:26" x14ac:dyDescent="0.2">
      <c r="A63" s="810"/>
      <c r="B63" s="810"/>
      <c r="C63" s="810"/>
      <c r="D63" s="810"/>
      <c r="E63" s="810"/>
      <c r="F63" s="810"/>
      <c r="G63" s="810"/>
      <c r="H63" s="810"/>
      <c r="I63" s="810"/>
      <c r="J63" s="810"/>
      <c r="K63" s="810"/>
      <c r="L63" s="810"/>
      <c r="M63" s="810"/>
      <c r="N63" s="810"/>
      <c r="O63" s="810"/>
      <c r="P63" s="810"/>
      <c r="Q63" s="810"/>
    </row>
    <row r="64" spans="1:26" x14ac:dyDescent="0.2">
      <c r="A64" s="810"/>
      <c r="B64" s="810"/>
      <c r="C64" s="810"/>
      <c r="D64" s="810"/>
      <c r="E64" s="810"/>
      <c r="F64" s="810"/>
      <c r="G64" s="810"/>
      <c r="H64" s="810"/>
      <c r="I64" s="810"/>
      <c r="J64" s="810"/>
      <c r="K64" s="810"/>
      <c r="L64" s="810"/>
      <c r="M64" s="810"/>
      <c r="N64" s="810"/>
      <c r="O64" s="810"/>
      <c r="P64" s="810"/>
      <c r="Q64" s="810"/>
    </row>
    <row r="65" spans="1:17" x14ac:dyDescent="0.2">
      <c r="A65" s="810"/>
      <c r="B65" s="810"/>
      <c r="C65" s="810"/>
      <c r="D65" s="810"/>
      <c r="E65" s="810"/>
      <c r="F65" s="810"/>
      <c r="G65" s="810"/>
      <c r="H65" s="810"/>
      <c r="I65" s="810"/>
      <c r="J65" s="810"/>
      <c r="K65" s="810"/>
      <c r="L65" s="810"/>
      <c r="M65" s="810"/>
      <c r="N65" s="810"/>
      <c r="O65" s="810"/>
      <c r="P65" s="810"/>
      <c r="Q65" s="810"/>
    </row>
    <row r="66" spans="1:17" x14ac:dyDescent="0.2">
      <c r="A66" s="810"/>
      <c r="B66" s="810"/>
      <c r="C66" s="810"/>
      <c r="D66" s="810"/>
      <c r="E66" s="810"/>
      <c r="F66" s="810"/>
      <c r="G66" s="810"/>
      <c r="H66" s="810"/>
      <c r="I66" s="810"/>
      <c r="J66" s="810"/>
      <c r="K66" s="810"/>
      <c r="L66" s="810"/>
      <c r="M66" s="810"/>
      <c r="N66" s="810"/>
      <c r="O66" s="810"/>
      <c r="P66" s="810"/>
      <c r="Q66" s="810"/>
    </row>
    <row r="67" spans="1:17" x14ac:dyDescent="0.2">
      <c r="A67" s="810"/>
      <c r="B67" s="810"/>
      <c r="C67" s="810"/>
      <c r="D67" s="810"/>
      <c r="E67" s="810"/>
      <c r="F67" s="810"/>
      <c r="G67" s="810"/>
      <c r="H67" s="810"/>
      <c r="I67" s="810"/>
      <c r="J67" s="810"/>
      <c r="K67" s="810"/>
      <c r="L67" s="810"/>
      <c r="M67" s="810"/>
      <c r="N67" s="810"/>
      <c r="O67" s="810"/>
      <c r="P67" s="810"/>
      <c r="Q67" s="810"/>
    </row>
    <row r="68" spans="1:17" x14ac:dyDescent="0.2">
      <c r="A68" s="810"/>
      <c r="B68" s="810"/>
      <c r="C68" s="810"/>
      <c r="D68" s="810"/>
      <c r="E68" s="810"/>
      <c r="F68" s="810"/>
      <c r="G68" s="810"/>
      <c r="H68" s="810"/>
      <c r="I68" s="810"/>
      <c r="J68" s="810"/>
      <c r="K68" s="810"/>
      <c r="L68" s="810"/>
      <c r="M68" s="810"/>
      <c r="N68" s="810"/>
      <c r="O68" s="810"/>
      <c r="P68" s="810"/>
      <c r="Q68" s="810"/>
    </row>
    <row r="69" spans="1:17" x14ac:dyDescent="0.2">
      <c r="A69" s="810"/>
      <c r="B69" s="810"/>
      <c r="C69" s="810"/>
      <c r="D69" s="810"/>
      <c r="E69" s="810"/>
      <c r="F69" s="810"/>
      <c r="G69" s="810"/>
      <c r="H69" s="810"/>
      <c r="I69" s="810"/>
      <c r="J69" s="810"/>
      <c r="K69" s="810"/>
      <c r="L69" s="810"/>
      <c r="M69" s="810"/>
      <c r="N69" s="810"/>
      <c r="O69" s="810"/>
      <c r="P69" s="810"/>
      <c r="Q69" s="810"/>
    </row>
    <row r="70" spans="1:17" x14ac:dyDescent="0.2">
      <c r="A70" s="810"/>
      <c r="B70" s="810"/>
      <c r="C70" s="810"/>
      <c r="D70" s="810"/>
      <c r="E70" s="810"/>
      <c r="F70" s="810"/>
      <c r="G70" s="810"/>
      <c r="H70" s="810"/>
      <c r="I70" s="810"/>
      <c r="J70" s="810"/>
      <c r="K70" s="810"/>
      <c r="L70" s="810"/>
      <c r="M70" s="810"/>
      <c r="N70" s="810"/>
      <c r="O70" s="810"/>
      <c r="P70" s="810"/>
      <c r="Q70" s="810"/>
    </row>
    <row r="71" spans="1:17" x14ac:dyDescent="0.2">
      <c r="A71" s="810"/>
      <c r="B71" s="810"/>
      <c r="C71" s="810"/>
      <c r="D71" s="810"/>
      <c r="E71" s="810"/>
      <c r="F71" s="810"/>
      <c r="G71" s="810"/>
      <c r="H71" s="810"/>
      <c r="I71" s="810"/>
      <c r="J71" s="810"/>
      <c r="K71" s="810"/>
      <c r="L71" s="810"/>
      <c r="M71" s="810"/>
      <c r="N71" s="810"/>
      <c r="O71" s="810"/>
      <c r="P71" s="810"/>
      <c r="Q71" s="810"/>
    </row>
    <row r="72" spans="1:17" x14ac:dyDescent="0.2">
      <c r="A72" s="810"/>
      <c r="B72" s="810"/>
      <c r="C72" s="810"/>
      <c r="D72" s="810"/>
      <c r="E72" s="810"/>
      <c r="F72" s="810"/>
      <c r="G72" s="810"/>
      <c r="H72" s="810"/>
      <c r="I72" s="810"/>
      <c r="J72" s="810"/>
      <c r="K72" s="810"/>
      <c r="L72" s="810"/>
      <c r="M72" s="810"/>
      <c r="N72" s="810"/>
      <c r="O72" s="810"/>
      <c r="P72" s="810"/>
      <c r="Q72" s="810"/>
    </row>
    <row r="73" spans="1:17" x14ac:dyDescent="0.2">
      <c r="A73" s="810"/>
      <c r="B73" s="810"/>
      <c r="C73" s="810"/>
      <c r="D73" s="810"/>
      <c r="E73" s="810"/>
      <c r="F73" s="810"/>
      <c r="G73" s="810"/>
      <c r="H73" s="810"/>
      <c r="I73" s="810"/>
      <c r="J73" s="810"/>
      <c r="K73" s="810"/>
      <c r="L73" s="810"/>
      <c r="M73" s="810"/>
      <c r="N73" s="810"/>
      <c r="O73" s="810"/>
      <c r="P73" s="810"/>
      <c r="Q73" s="810"/>
    </row>
    <row r="74" spans="1:17" x14ac:dyDescent="0.2">
      <c r="A74" s="810"/>
      <c r="B74" s="810"/>
      <c r="C74" s="810"/>
      <c r="D74" s="810"/>
      <c r="E74" s="810"/>
      <c r="F74" s="810"/>
      <c r="G74" s="810"/>
      <c r="H74" s="810"/>
      <c r="I74" s="810"/>
      <c r="J74" s="810"/>
      <c r="K74" s="810"/>
      <c r="L74" s="810"/>
      <c r="M74" s="810"/>
      <c r="N74" s="810"/>
      <c r="O74" s="810"/>
      <c r="P74" s="810"/>
      <c r="Q74" s="810"/>
    </row>
    <row r="75" spans="1:17" x14ac:dyDescent="0.2">
      <c r="A75" s="810"/>
      <c r="B75" s="810"/>
      <c r="C75" s="810"/>
      <c r="D75" s="810"/>
      <c r="E75" s="810"/>
      <c r="F75" s="810"/>
      <c r="G75" s="810"/>
      <c r="H75" s="810"/>
      <c r="I75" s="810"/>
      <c r="J75" s="810"/>
      <c r="K75" s="810"/>
      <c r="L75" s="810"/>
      <c r="M75" s="810"/>
      <c r="N75" s="810"/>
      <c r="O75" s="810"/>
      <c r="P75" s="810"/>
      <c r="Q75" s="810"/>
    </row>
    <row r="76" spans="1:17" x14ac:dyDescent="0.2">
      <c r="A76" s="810"/>
      <c r="B76" s="810"/>
      <c r="C76" s="810"/>
      <c r="D76" s="810"/>
      <c r="E76" s="810"/>
      <c r="F76" s="810"/>
      <c r="G76" s="810"/>
      <c r="H76" s="810"/>
      <c r="I76" s="810"/>
      <c r="J76" s="810"/>
      <c r="K76" s="810"/>
      <c r="L76" s="810"/>
      <c r="M76" s="810"/>
      <c r="N76" s="810"/>
      <c r="O76" s="810"/>
      <c r="P76" s="810"/>
      <c r="Q76" s="810"/>
    </row>
    <row r="77" spans="1:17" x14ac:dyDescent="0.2">
      <c r="A77" s="810"/>
      <c r="B77" s="810"/>
      <c r="C77" s="810"/>
      <c r="D77" s="810"/>
      <c r="E77" s="810"/>
      <c r="F77" s="810"/>
      <c r="G77" s="810"/>
      <c r="H77" s="810"/>
      <c r="I77" s="810"/>
      <c r="J77" s="810"/>
      <c r="K77" s="810"/>
      <c r="L77" s="810"/>
      <c r="M77" s="810"/>
      <c r="N77" s="810"/>
      <c r="O77" s="810"/>
      <c r="P77" s="810"/>
      <c r="Q77" s="810"/>
    </row>
    <row r="78" spans="1:17" x14ac:dyDescent="0.2">
      <c r="A78" s="810"/>
      <c r="B78" s="810"/>
      <c r="C78" s="810"/>
      <c r="D78" s="810"/>
      <c r="E78" s="810"/>
      <c r="F78" s="810"/>
      <c r="G78" s="810"/>
      <c r="H78" s="810"/>
      <c r="I78" s="810"/>
      <c r="J78" s="810"/>
      <c r="K78" s="810"/>
      <c r="L78" s="810"/>
      <c r="M78" s="810"/>
      <c r="N78" s="810"/>
      <c r="O78" s="810"/>
      <c r="P78" s="810"/>
      <c r="Q78" s="810"/>
    </row>
    <row r="79" spans="1:17" x14ac:dyDescent="0.2">
      <c r="A79" s="810"/>
      <c r="B79" s="810"/>
      <c r="C79" s="810"/>
      <c r="D79" s="810"/>
      <c r="E79" s="810"/>
      <c r="F79" s="810"/>
      <c r="G79" s="810"/>
      <c r="H79" s="810"/>
      <c r="I79" s="810"/>
      <c r="J79" s="810"/>
      <c r="K79" s="810"/>
      <c r="L79" s="810"/>
      <c r="M79" s="810"/>
      <c r="N79" s="810"/>
      <c r="O79" s="810"/>
      <c r="P79" s="810"/>
      <c r="Q79" s="810"/>
    </row>
    <row r="80" spans="1:17" x14ac:dyDescent="0.2">
      <c r="A80" s="810"/>
      <c r="B80" s="810"/>
      <c r="C80" s="810"/>
      <c r="D80" s="810"/>
      <c r="E80" s="810"/>
      <c r="F80" s="810"/>
      <c r="G80" s="810"/>
      <c r="H80" s="810"/>
      <c r="I80" s="810"/>
      <c r="J80" s="810"/>
      <c r="K80" s="810"/>
      <c r="L80" s="810"/>
      <c r="M80" s="810"/>
      <c r="N80" s="810"/>
      <c r="O80" s="810"/>
      <c r="P80" s="810"/>
      <c r="Q80" s="810"/>
    </row>
    <row r="81" spans="1:17" x14ac:dyDescent="0.2">
      <c r="A81" s="810"/>
      <c r="B81" s="810"/>
      <c r="C81" s="810"/>
      <c r="D81" s="810"/>
      <c r="E81" s="810"/>
      <c r="F81" s="810"/>
      <c r="G81" s="810"/>
      <c r="H81" s="810"/>
      <c r="I81" s="810"/>
      <c r="J81" s="810"/>
      <c r="K81" s="810"/>
      <c r="L81" s="810"/>
      <c r="M81" s="810"/>
      <c r="N81" s="810"/>
      <c r="O81" s="810"/>
      <c r="P81" s="810"/>
      <c r="Q81" s="810"/>
    </row>
    <row r="82" spans="1:17" x14ac:dyDescent="0.2">
      <c r="A82" s="810"/>
      <c r="B82" s="810"/>
      <c r="C82" s="810"/>
      <c r="D82" s="810"/>
      <c r="E82" s="810"/>
      <c r="F82" s="810"/>
      <c r="G82" s="810"/>
      <c r="H82" s="810"/>
      <c r="I82" s="810"/>
      <c r="J82" s="810"/>
      <c r="K82" s="810"/>
      <c r="L82" s="810"/>
      <c r="M82" s="810"/>
      <c r="N82" s="810"/>
      <c r="O82" s="810"/>
      <c r="P82" s="810"/>
      <c r="Q82" s="810"/>
    </row>
    <row r="83" spans="1:17" x14ac:dyDescent="0.2">
      <c r="A83" s="810"/>
      <c r="B83" s="810"/>
      <c r="C83" s="810"/>
      <c r="D83" s="810"/>
      <c r="E83" s="810"/>
      <c r="F83" s="810"/>
      <c r="G83" s="810"/>
      <c r="H83" s="810"/>
      <c r="I83" s="810"/>
      <c r="J83" s="810"/>
      <c r="K83" s="810"/>
      <c r="L83" s="810"/>
      <c r="M83" s="810"/>
      <c r="N83" s="810"/>
      <c r="O83" s="810"/>
      <c r="P83" s="810"/>
      <c r="Q83" s="810"/>
    </row>
    <row r="84" spans="1:17" x14ac:dyDescent="0.2">
      <c r="A84" s="810"/>
      <c r="B84" s="810"/>
      <c r="C84" s="810"/>
      <c r="D84" s="810"/>
      <c r="E84" s="810"/>
      <c r="F84" s="810"/>
      <c r="G84" s="810"/>
      <c r="H84" s="810"/>
      <c r="I84" s="810"/>
      <c r="J84" s="810"/>
      <c r="K84" s="810"/>
      <c r="L84" s="810"/>
      <c r="M84" s="810"/>
      <c r="N84" s="810"/>
      <c r="O84" s="810"/>
      <c r="P84" s="810"/>
      <c r="Q84" s="810"/>
    </row>
    <row r="85" spans="1:17" x14ac:dyDescent="0.2">
      <c r="A85" s="810"/>
      <c r="B85" s="810"/>
      <c r="C85" s="810"/>
      <c r="D85" s="810"/>
      <c r="E85" s="810"/>
      <c r="F85" s="810"/>
      <c r="G85" s="810"/>
      <c r="H85" s="810"/>
      <c r="I85" s="810"/>
      <c r="J85" s="810"/>
      <c r="K85" s="810"/>
      <c r="L85" s="810"/>
      <c r="M85" s="810"/>
      <c r="N85" s="810"/>
      <c r="O85" s="810"/>
      <c r="P85" s="810"/>
      <c r="Q85" s="810"/>
    </row>
    <row r="86" spans="1:17" x14ac:dyDescent="0.2">
      <c r="A86" s="810"/>
      <c r="B86" s="810"/>
      <c r="C86" s="810"/>
      <c r="D86" s="810"/>
      <c r="E86" s="810"/>
      <c r="F86" s="810"/>
      <c r="G86" s="810"/>
      <c r="H86" s="810"/>
      <c r="I86" s="810"/>
      <c r="J86" s="810"/>
      <c r="K86" s="810"/>
      <c r="L86" s="810"/>
      <c r="M86" s="810"/>
      <c r="N86" s="810"/>
      <c r="O86" s="810"/>
      <c r="P86" s="810"/>
      <c r="Q86" s="810"/>
    </row>
    <row r="87" spans="1:17" x14ac:dyDescent="0.2">
      <c r="A87" s="810"/>
      <c r="B87" s="810"/>
      <c r="C87" s="810"/>
      <c r="D87" s="810"/>
      <c r="E87" s="810"/>
      <c r="F87" s="810"/>
      <c r="G87" s="810"/>
      <c r="H87" s="810"/>
      <c r="I87" s="810"/>
      <c r="J87" s="810"/>
      <c r="K87" s="810"/>
      <c r="L87" s="810"/>
      <c r="M87" s="810"/>
      <c r="N87" s="810"/>
      <c r="O87" s="810"/>
      <c r="P87" s="810"/>
      <c r="Q87" s="810"/>
    </row>
    <row r="88" spans="1:17" x14ac:dyDescent="0.2">
      <c r="A88" s="810"/>
      <c r="B88" s="810"/>
      <c r="C88" s="810"/>
      <c r="D88" s="810"/>
      <c r="E88" s="810"/>
      <c r="F88" s="810"/>
      <c r="G88" s="810"/>
      <c r="H88" s="810"/>
      <c r="I88" s="810"/>
      <c r="J88" s="810"/>
      <c r="K88" s="810"/>
      <c r="L88" s="810"/>
      <c r="M88" s="810"/>
      <c r="N88" s="810"/>
      <c r="O88" s="810"/>
      <c r="P88" s="810"/>
      <c r="Q88" s="810"/>
    </row>
    <row r="89" spans="1:17" x14ac:dyDescent="0.2">
      <c r="A89" s="810"/>
      <c r="B89" s="810"/>
      <c r="C89" s="810"/>
      <c r="D89" s="810"/>
      <c r="E89" s="810"/>
      <c r="F89" s="810"/>
      <c r="G89" s="810"/>
      <c r="H89" s="810"/>
      <c r="I89" s="810"/>
      <c r="J89" s="810"/>
      <c r="K89" s="810"/>
      <c r="L89" s="810"/>
      <c r="M89" s="810"/>
      <c r="N89" s="810"/>
      <c r="O89" s="810"/>
      <c r="P89" s="810"/>
      <c r="Q89" s="810"/>
    </row>
    <row r="90" spans="1:17" x14ac:dyDescent="0.2">
      <c r="A90" s="810"/>
      <c r="B90" s="810"/>
      <c r="C90" s="810"/>
      <c r="D90" s="810"/>
      <c r="E90" s="810"/>
      <c r="F90" s="810"/>
      <c r="G90" s="810"/>
      <c r="H90" s="810"/>
      <c r="I90" s="810"/>
      <c r="J90" s="810"/>
      <c r="K90" s="810"/>
      <c r="L90" s="810"/>
      <c r="M90" s="810"/>
      <c r="N90" s="810"/>
      <c r="O90" s="810"/>
      <c r="P90" s="810"/>
      <c r="Q90" s="810"/>
    </row>
    <row r="91" spans="1:17" x14ac:dyDescent="0.2">
      <c r="A91" s="810"/>
      <c r="B91" s="810"/>
      <c r="C91" s="810"/>
      <c r="D91" s="810"/>
      <c r="E91" s="810"/>
      <c r="F91" s="810"/>
      <c r="G91" s="810"/>
      <c r="H91" s="810"/>
      <c r="I91" s="810"/>
      <c r="J91" s="810"/>
      <c r="K91" s="810"/>
      <c r="L91" s="810"/>
      <c r="M91" s="810"/>
      <c r="N91" s="810"/>
      <c r="O91" s="810"/>
      <c r="P91" s="810"/>
      <c r="Q91" s="810"/>
    </row>
    <row r="92" spans="1:17" x14ac:dyDescent="0.2">
      <c r="A92" s="810"/>
      <c r="B92" s="810"/>
      <c r="C92" s="810"/>
      <c r="D92" s="810"/>
      <c r="E92" s="810"/>
      <c r="F92" s="810"/>
      <c r="G92" s="810"/>
      <c r="H92" s="810"/>
      <c r="I92" s="810"/>
      <c r="J92" s="810"/>
      <c r="K92" s="810"/>
      <c r="L92" s="810"/>
      <c r="M92" s="810"/>
      <c r="N92" s="810"/>
      <c r="O92" s="810"/>
      <c r="P92" s="810"/>
      <c r="Q92" s="810"/>
    </row>
    <row r="93" spans="1:17" x14ac:dyDescent="0.2">
      <c r="A93" s="810"/>
      <c r="B93" s="810"/>
      <c r="C93" s="810"/>
      <c r="D93" s="810"/>
      <c r="E93" s="810"/>
      <c r="F93" s="810"/>
      <c r="G93" s="810"/>
      <c r="H93" s="810"/>
      <c r="I93" s="810"/>
      <c r="J93" s="810"/>
      <c r="K93" s="810"/>
      <c r="L93" s="810"/>
      <c r="M93" s="810"/>
      <c r="N93" s="810"/>
      <c r="O93" s="810"/>
      <c r="P93" s="810"/>
      <c r="Q93" s="810"/>
    </row>
    <row r="94" spans="1:17" x14ac:dyDescent="0.2">
      <c r="A94" s="810"/>
      <c r="B94" s="810"/>
      <c r="C94" s="810"/>
      <c r="D94" s="810"/>
      <c r="E94" s="810"/>
      <c r="F94" s="810"/>
      <c r="G94" s="810"/>
      <c r="H94" s="810"/>
      <c r="I94" s="810"/>
      <c r="J94" s="810"/>
      <c r="K94" s="810"/>
      <c r="L94" s="810"/>
      <c r="M94" s="810"/>
      <c r="N94" s="810"/>
      <c r="O94" s="810"/>
      <c r="P94" s="810"/>
      <c r="Q94" s="810"/>
    </row>
    <row r="95" spans="1:17" x14ac:dyDescent="0.2">
      <c r="A95" s="810"/>
      <c r="B95" s="810"/>
      <c r="C95" s="810"/>
      <c r="D95" s="810"/>
      <c r="E95" s="810"/>
      <c r="F95" s="810"/>
      <c r="G95" s="810"/>
      <c r="H95" s="810"/>
      <c r="I95" s="810"/>
      <c r="J95" s="810"/>
      <c r="K95" s="810"/>
      <c r="L95" s="810"/>
      <c r="M95" s="810"/>
      <c r="N95" s="810"/>
      <c r="O95" s="810"/>
      <c r="P95" s="810"/>
      <c r="Q95" s="810"/>
    </row>
    <row r="96" spans="1:17" x14ac:dyDescent="0.2">
      <c r="A96" s="810"/>
      <c r="B96" s="810"/>
      <c r="C96" s="810"/>
      <c r="D96" s="810"/>
      <c r="E96" s="810"/>
      <c r="F96" s="810"/>
      <c r="G96" s="810"/>
      <c r="H96" s="810"/>
      <c r="I96" s="810"/>
      <c r="J96" s="810"/>
      <c r="K96" s="810"/>
      <c r="L96" s="810"/>
      <c r="M96" s="810"/>
      <c r="N96" s="810"/>
      <c r="O96" s="810"/>
      <c r="P96" s="810"/>
      <c r="Q96" s="810"/>
    </row>
    <row r="97" spans="1:17" x14ac:dyDescent="0.2">
      <c r="A97" s="810"/>
      <c r="B97" s="810"/>
      <c r="C97" s="810"/>
      <c r="D97" s="810"/>
      <c r="E97" s="810"/>
      <c r="F97" s="810"/>
      <c r="G97" s="810"/>
      <c r="H97" s="810"/>
      <c r="I97" s="810"/>
      <c r="J97" s="810"/>
      <c r="K97" s="810"/>
      <c r="L97" s="810"/>
      <c r="M97" s="810"/>
      <c r="N97" s="810"/>
      <c r="O97" s="810"/>
      <c r="P97" s="810"/>
      <c r="Q97" s="810"/>
    </row>
    <row r="98" spans="1:17" x14ac:dyDescent="0.2">
      <c r="A98" s="810"/>
      <c r="B98" s="810"/>
      <c r="C98" s="810"/>
      <c r="D98" s="810"/>
      <c r="E98" s="810"/>
      <c r="F98" s="810"/>
      <c r="G98" s="810"/>
      <c r="H98" s="810"/>
      <c r="I98" s="810"/>
      <c r="J98" s="810"/>
      <c r="K98" s="810"/>
      <c r="L98" s="810"/>
      <c r="M98" s="810"/>
      <c r="N98" s="810"/>
      <c r="O98" s="810"/>
      <c r="P98" s="810"/>
      <c r="Q98" s="810"/>
    </row>
    <row r="99" spans="1:17" x14ac:dyDescent="0.2">
      <c r="A99" s="810"/>
      <c r="B99" s="810"/>
      <c r="C99" s="810"/>
      <c r="D99" s="810"/>
      <c r="E99" s="810"/>
      <c r="F99" s="810"/>
      <c r="G99" s="810"/>
      <c r="H99" s="810"/>
      <c r="I99" s="810"/>
      <c r="J99" s="810"/>
      <c r="K99" s="810"/>
      <c r="L99" s="810"/>
      <c r="M99" s="810"/>
      <c r="N99" s="810"/>
      <c r="O99" s="810"/>
      <c r="P99" s="810"/>
      <c r="Q99" s="810"/>
    </row>
    <row r="100" spans="1:17" x14ac:dyDescent="0.2">
      <c r="A100" s="810"/>
      <c r="B100" s="810"/>
      <c r="C100" s="810"/>
      <c r="D100" s="810"/>
      <c r="E100" s="810"/>
      <c r="F100" s="810"/>
      <c r="G100" s="810"/>
      <c r="H100" s="810"/>
      <c r="I100" s="810"/>
      <c r="J100" s="810"/>
      <c r="K100" s="810"/>
      <c r="L100" s="810"/>
      <c r="M100" s="810"/>
      <c r="N100" s="810"/>
      <c r="O100" s="810"/>
      <c r="P100" s="810"/>
      <c r="Q100" s="810"/>
    </row>
    <row r="101" spans="1:17" x14ac:dyDescent="0.2">
      <c r="A101" s="810"/>
      <c r="B101" s="810"/>
      <c r="C101" s="810"/>
      <c r="D101" s="810"/>
      <c r="E101" s="810"/>
      <c r="F101" s="810"/>
      <c r="G101" s="810"/>
      <c r="H101" s="810"/>
      <c r="I101" s="810"/>
      <c r="J101" s="810"/>
      <c r="K101" s="810"/>
      <c r="L101" s="810"/>
      <c r="M101" s="810"/>
      <c r="N101" s="810"/>
      <c r="O101" s="810"/>
      <c r="P101" s="810"/>
      <c r="Q101" s="810"/>
    </row>
    <row r="102" spans="1:17" x14ac:dyDescent="0.2">
      <c r="A102" s="810"/>
      <c r="B102" s="810"/>
      <c r="C102" s="810"/>
      <c r="D102" s="810"/>
      <c r="E102" s="810"/>
      <c r="F102" s="810"/>
      <c r="G102" s="810"/>
      <c r="H102" s="810"/>
      <c r="I102" s="810"/>
      <c r="J102" s="810"/>
      <c r="K102" s="810"/>
      <c r="L102" s="810"/>
      <c r="M102" s="810"/>
      <c r="N102" s="810"/>
      <c r="O102" s="810"/>
      <c r="P102" s="810"/>
      <c r="Q102" s="810"/>
    </row>
    <row r="103" spans="1:17" x14ac:dyDescent="0.2">
      <c r="A103" s="810"/>
      <c r="B103" s="810"/>
      <c r="C103" s="810"/>
      <c r="D103" s="810"/>
      <c r="E103" s="810"/>
      <c r="F103" s="810"/>
      <c r="G103" s="810"/>
      <c r="H103" s="810"/>
      <c r="I103" s="810"/>
      <c r="J103" s="810"/>
      <c r="K103" s="810"/>
      <c r="L103" s="810"/>
      <c r="M103" s="810"/>
      <c r="N103" s="810"/>
      <c r="O103" s="810"/>
      <c r="P103" s="810"/>
      <c r="Q103" s="810"/>
    </row>
    <row r="104" spans="1:17" x14ac:dyDescent="0.2">
      <c r="A104" s="810"/>
      <c r="B104" s="810"/>
      <c r="C104" s="810"/>
      <c r="D104" s="810"/>
      <c r="E104" s="810"/>
      <c r="F104" s="810"/>
      <c r="G104" s="810"/>
      <c r="H104" s="810"/>
      <c r="I104" s="810"/>
      <c r="J104" s="810"/>
      <c r="K104" s="810"/>
      <c r="L104" s="810"/>
      <c r="M104" s="810"/>
      <c r="N104" s="810"/>
      <c r="O104" s="810"/>
      <c r="P104" s="810"/>
      <c r="Q104" s="810"/>
    </row>
    <row r="105" spans="1:17" x14ac:dyDescent="0.2">
      <c r="A105" s="810"/>
      <c r="B105" s="810"/>
      <c r="C105" s="810"/>
      <c r="D105" s="810"/>
      <c r="E105" s="810"/>
      <c r="F105" s="810"/>
      <c r="G105" s="810"/>
      <c r="H105" s="810"/>
      <c r="I105" s="810"/>
      <c r="J105" s="810"/>
      <c r="K105" s="810"/>
      <c r="L105" s="810"/>
      <c r="M105" s="810"/>
      <c r="N105" s="810"/>
      <c r="O105" s="810"/>
      <c r="P105" s="810"/>
      <c r="Q105" s="810"/>
    </row>
    <row r="106" spans="1:17" x14ac:dyDescent="0.2">
      <c r="A106" s="810"/>
      <c r="B106" s="810"/>
      <c r="C106" s="810"/>
      <c r="D106" s="810"/>
      <c r="E106" s="810"/>
      <c r="F106" s="810"/>
      <c r="G106" s="810"/>
      <c r="H106" s="810"/>
      <c r="I106" s="810"/>
      <c r="J106" s="810"/>
      <c r="K106" s="810"/>
      <c r="L106" s="810"/>
      <c r="M106" s="810"/>
      <c r="N106" s="810"/>
      <c r="O106" s="810"/>
      <c r="P106" s="810"/>
      <c r="Q106" s="810"/>
    </row>
    <row r="107" spans="1:17" x14ac:dyDescent="0.2">
      <c r="A107" s="810"/>
      <c r="B107" s="810"/>
      <c r="C107" s="810"/>
      <c r="D107" s="810"/>
      <c r="E107" s="810"/>
      <c r="F107" s="810"/>
      <c r="G107" s="810"/>
      <c r="H107" s="810"/>
      <c r="I107" s="810"/>
      <c r="J107" s="810"/>
      <c r="K107" s="810"/>
      <c r="L107" s="810"/>
      <c r="M107" s="810"/>
      <c r="N107" s="810"/>
      <c r="O107" s="810"/>
      <c r="P107" s="810"/>
      <c r="Q107" s="810"/>
    </row>
  </sheetData>
  <pageMargins left="0.7" right="0.7" top="0.75" bottom="0.75" header="0.3" footer="0.3"/>
  <pageSetup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Z200"/>
  <sheetViews>
    <sheetView workbookViewId="0"/>
  </sheetViews>
  <sheetFormatPr defaultColWidth="0" defaultRowHeight="0" customHeight="1" zeroHeight="1" x14ac:dyDescent="0.25"/>
  <cols>
    <col min="1" max="5" width="12" style="37" customWidth="1"/>
    <col min="6" max="6" width="13.875" style="37" bestFit="1" customWidth="1"/>
    <col min="7" max="7" width="9.5" style="37" bestFit="1" customWidth="1"/>
    <col min="8" max="8" width="11.5" style="37" customWidth="1"/>
    <col min="9" max="9" width="12.25" style="37" bestFit="1" customWidth="1"/>
    <col min="10" max="49" width="9.375" style="37" customWidth="1"/>
    <col min="50" max="16384" width="9.375" style="37" hidden="1"/>
  </cols>
  <sheetData>
    <row r="1" spans="1:52" ht="15.75" customHeight="1" thickBot="1" x14ac:dyDescent="0.3">
      <c r="A1" s="1">
        <v>23</v>
      </c>
      <c r="B1" s="2"/>
      <c r="C1" s="811"/>
      <c r="D1" s="812"/>
      <c r="E1" s="812"/>
      <c r="F1" s="812"/>
      <c r="G1" s="812"/>
      <c r="H1" s="812"/>
      <c r="I1" s="813"/>
      <c r="J1" s="814"/>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815" t="s">
        <v>0</v>
      </c>
      <c r="B2" s="816"/>
      <c r="C2" s="816"/>
      <c r="D2" s="816"/>
      <c r="E2" s="816"/>
      <c r="F2" s="816"/>
      <c r="G2" s="816"/>
      <c r="H2" s="816"/>
      <c r="I2" s="817"/>
      <c r="J2" s="814"/>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818">
        <v>2.5</v>
      </c>
      <c r="B3" s="816"/>
      <c r="C3" s="816"/>
      <c r="D3" s="816"/>
      <c r="E3" s="816"/>
      <c r="F3" s="816"/>
      <c r="G3" s="816"/>
      <c r="H3" s="816"/>
      <c r="I3" s="817"/>
      <c r="J3" s="814"/>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819"/>
      <c r="B4" s="820" t="s">
        <v>692</v>
      </c>
      <c r="C4" s="821"/>
      <c r="D4" s="821"/>
      <c r="E4" s="821"/>
      <c r="F4" s="821"/>
      <c r="G4" s="821"/>
      <c r="H4" s="821"/>
      <c r="I4" s="822"/>
      <c r="J4" s="823"/>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819"/>
      <c r="B5" s="820"/>
      <c r="C5" s="821"/>
      <c r="D5" s="821"/>
      <c r="E5" s="821"/>
      <c r="F5" s="821"/>
      <c r="G5" s="821"/>
      <c r="H5" s="821"/>
      <c r="I5" s="822"/>
      <c r="J5" s="823"/>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thickBot="1" x14ac:dyDescent="0.3">
      <c r="A6" s="824"/>
      <c r="B6" s="825"/>
      <c r="C6" s="825"/>
      <c r="D6" s="825"/>
      <c r="E6" s="826"/>
      <c r="F6" s="827" t="s">
        <v>707</v>
      </c>
      <c r="G6" s="828" t="s">
        <v>708</v>
      </c>
      <c r="H6" s="829"/>
      <c r="I6" s="830"/>
      <c r="J6" s="823"/>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824"/>
      <c r="B7" s="826"/>
      <c r="C7" s="828" t="s">
        <v>571</v>
      </c>
      <c r="D7" s="825"/>
      <c r="E7" s="831"/>
      <c r="F7" s="832" t="s">
        <v>519</v>
      </c>
      <c r="G7" s="833" t="s">
        <v>519</v>
      </c>
      <c r="H7" s="829"/>
      <c r="I7" s="830"/>
      <c r="J7" s="823"/>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824"/>
      <c r="B8" s="831" t="s">
        <v>135</v>
      </c>
      <c r="C8" s="833" t="s">
        <v>519</v>
      </c>
      <c r="D8" s="825"/>
      <c r="E8" s="831"/>
      <c r="F8" s="832" t="s">
        <v>709</v>
      </c>
      <c r="G8" s="833" t="s">
        <v>709</v>
      </c>
      <c r="H8" s="829"/>
      <c r="I8" s="830"/>
      <c r="J8" s="823"/>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thickBot="1" x14ac:dyDescent="0.3">
      <c r="A9" s="824"/>
      <c r="B9" s="834" t="s">
        <v>83</v>
      </c>
      <c r="C9" s="835" t="s">
        <v>710</v>
      </c>
      <c r="D9" s="825"/>
      <c r="E9" s="834" t="s">
        <v>537</v>
      </c>
      <c r="F9" s="836" t="s">
        <v>711</v>
      </c>
      <c r="G9" s="835" t="s">
        <v>711</v>
      </c>
      <c r="H9" s="829"/>
      <c r="I9" s="830"/>
      <c r="J9" s="823"/>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824"/>
      <c r="B10" s="837">
        <v>2014</v>
      </c>
      <c r="C10" s="838">
        <v>43300</v>
      </c>
      <c r="D10" s="839"/>
      <c r="E10" s="837">
        <v>12</v>
      </c>
      <c r="F10" s="840">
        <v>0.3</v>
      </c>
      <c r="G10" s="841">
        <v>0.05</v>
      </c>
      <c r="H10" s="842"/>
      <c r="I10" s="843"/>
      <c r="J10" s="823"/>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824"/>
      <c r="B11" s="844">
        <v>2015</v>
      </c>
      <c r="C11" s="845">
        <v>41300</v>
      </c>
      <c r="D11" s="839"/>
      <c r="E11" s="844">
        <v>24</v>
      </c>
      <c r="F11" s="846">
        <v>0.65</v>
      </c>
      <c r="G11" s="847">
        <v>0.35</v>
      </c>
      <c r="H11" s="842"/>
      <c r="I11" s="843"/>
      <c r="J11" s="823"/>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x14ac:dyDescent="0.25">
      <c r="A12" s="824"/>
      <c r="B12" s="844">
        <v>2016</v>
      </c>
      <c r="C12" s="845">
        <v>46400</v>
      </c>
      <c r="D12" s="839"/>
      <c r="E12" s="844">
        <v>36</v>
      </c>
      <c r="F12" s="846">
        <v>1</v>
      </c>
      <c r="G12" s="847">
        <v>0.9</v>
      </c>
      <c r="H12" s="842"/>
      <c r="I12" s="843"/>
      <c r="J12" s="823"/>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thickBot="1" x14ac:dyDescent="0.3">
      <c r="A13" s="824"/>
      <c r="B13" s="848">
        <v>2017</v>
      </c>
      <c r="C13" s="849">
        <v>45800</v>
      </c>
      <c r="D13" s="839"/>
      <c r="E13" s="850">
        <v>48</v>
      </c>
      <c r="F13" s="851">
        <v>1</v>
      </c>
      <c r="G13" s="852">
        <v>1</v>
      </c>
      <c r="H13" s="842"/>
      <c r="I13" s="843"/>
      <c r="J13" s="823"/>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824"/>
      <c r="B14" s="853"/>
      <c r="C14" s="853"/>
      <c r="D14" s="839"/>
      <c r="E14" s="854"/>
      <c r="F14" s="855"/>
      <c r="G14" s="855"/>
      <c r="H14" s="842"/>
      <c r="I14" s="843"/>
      <c r="J14" s="823"/>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thickBot="1" x14ac:dyDescent="0.3">
      <c r="A15" s="824"/>
      <c r="B15" s="854"/>
      <c r="C15" s="856"/>
      <c r="D15" s="839"/>
      <c r="E15" s="854"/>
      <c r="F15" s="855"/>
      <c r="G15" s="855"/>
      <c r="H15" s="842"/>
      <c r="I15" s="843"/>
      <c r="J15" s="823"/>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824"/>
      <c r="B16" s="857" t="s">
        <v>135</v>
      </c>
      <c r="C16" s="858" t="s">
        <v>712</v>
      </c>
      <c r="D16" s="858"/>
      <c r="E16" s="858"/>
      <c r="F16" s="859"/>
      <c r="G16" s="860"/>
      <c r="H16" s="842"/>
      <c r="I16" s="843"/>
      <c r="J16" s="823"/>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thickBot="1" x14ac:dyDescent="0.3">
      <c r="A17" s="824"/>
      <c r="B17" s="861" t="s">
        <v>83</v>
      </c>
      <c r="C17" s="862">
        <v>12</v>
      </c>
      <c r="D17" s="862">
        <v>24</v>
      </c>
      <c r="E17" s="862">
        <v>36</v>
      </c>
      <c r="F17" s="863">
        <v>48</v>
      </c>
      <c r="G17" s="864"/>
      <c r="H17" s="842"/>
      <c r="I17" s="843"/>
      <c r="J17" s="823"/>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824"/>
      <c r="B18" s="865">
        <v>2014</v>
      </c>
      <c r="C18" s="866"/>
      <c r="D18" s="867"/>
      <c r="E18" s="867"/>
      <c r="F18" s="868"/>
      <c r="G18" s="869"/>
      <c r="H18" s="842"/>
      <c r="I18" s="843"/>
      <c r="J18" s="823"/>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824"/>
      <c r="B19" s="870">
        <v>2015</v>
      </c>
      <c r="C19" s="871"/>
      <c r="D19" s="869"/>
      <c r="E19" s="869"/>
      <c r="F19" s="872">
        <v>0</v>
      </c>
      <c r="G19" s="869"/>
      <c r="H19" s="842"/>
      <c r="I19" s="843"/>
      <c r="J19" s="823"/>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824"/>
      <c r="B20" s="870">
        <v>2016</v>
      </c>
      <c r="C20" s="871"/>
      <c r="D20" s="869"/>
      <c r="E20" s="869">
        <v>4639.9999999999991</v>
      </c>
      <c r="F20" s="872">
        <v>0</v>
      </c>
      <c r="G20" s="869"/>
      <c r="H20" s="842"/>
      <c r="I20" s="843"/>
      <c r="J20" s="823"/>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thickBot="1" x14ac:dyDescent="0.3">
      <c r="A21" s="824"/>
      <c r="B21" s="873">
        <v>2017</v>
      </c>
      <c r="C21" s="874"/>
      <c r="D21" s="875">
        <v>13740.000000000002</v>
      </c>
      <c r="E21" s="875">
        <v>4579.9999999999991</v>
      </c>
      <c r="F21" s="876">
        <v>0</v>
      </c>
      <c r="G21" s="869"/>
      <c r="H21" s="842"/>
      <c r="I21" s="843"/>
      <c r="J21" s="823"/>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thickBot="1" x14ac:dyDescent="0.3">
      <c r="A22" s="824"/>
      <c r="B22" s="854"/>
      <c r="C22" s="856"/>
      <c r="D22" s="839"/>
      <c r="E22" s="854"/>
      <c r="F22" s="855"/>
      <c r="G22" s="855"/>
      <c r="H22" s="842"/>
      <c r="I22" s="843"/>
      <c r="J22" s="823"/>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824"/>
      <c r="B23" s="877">
        <v>60000</v>
      </c>
      <c r="C23" s="878" t="s">
        <v>713</v>
      </c>
      <c r="D23" s="879"/>
      <c r="E23" s="879"/>
      <c r="F23" s="879"/>
      <c r="G23" s="879"/>
      <c r="H23" s="880"/>
      <c r="I23" s="843"/>
      <c r="J23" s="823"/>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824"/>
      <c r="B24" s="881">
        <v>0.03</v>
      </c>
      <c r="C24" s="882" t="s">
        <v>714</v>
      </c>
      <c r="D24" s="883"/>
      <c r="E24" s="883"/>
      <c r="F24" s="883"/>
      <c r="G24" s="883"/>
      <c r="H24" s="884"/>
      <c r="I24" s="843"/>
      <c r="J24" s="823"/>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thickBot="1" x14ac:dyDescent="0.3">
      <c r="A25" s="824"/>
      <c r="B25" s="885">
        <v>310</v>
      </c>
      <c r="C25" s="886" t="s">
        <v>715</v>
      </c>
      <c r="D25" s="887"/>
      <c r="E25" s="887"/>
      <c r="F25" s="887"/>
      <c r="G25" s="887"/>
      <c r="H25" s="888"/>
      <c r="I25" s="843"/>
      <c r="J25" s="823"/>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824"/>
      <c r="B26" s="889"/>
      <c r="C26" s="890"/>
      <c r="D26" s="891"/>
      <c r="E26" s="892"/>
      <c r="F26" s="892"/>
      <c r="G26" s="893"/>
      <c r="H26" s="890"/>
      <c r="I26" s="894"/>
      <c r="J26" s="823"/>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4"/>
      <c r="B27" s="889" t="s">
        <v>716</v>
      </c>
      <c r="C27" s="890"/>
      <c r="D27" s="891"/>
      <c r="E27" s="892"/>
      <c r="F27" s="892"/>
      <c r="G27" s="893"/>
      <c r="H27" s="890"/>
      <c r="I27" s="894"/>
      <c r="J27" s="814"/>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thickBot="1" x14ac:dyDescent="0.3">
      <c r="A28" s="895"/>
      <c r="B28" s="896"/>
      <c r="C28" s="897"/>
      <c r="D28" s="897"/>
      <c r="E28" s="897"/>
      <c r="F28" s="897"/>
      <c r="G28" s="898"/>
      <c r="H28" s="897"/>
      <c r="I28" s="899"/>
      <c r="J28" s="814"/>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814"/>
      <c r="B29" s="814"/>
      <c r="C29" s="814"/>
      <c r="D29" s="814"/>
      <c r="E29" s="814"/>
      <c r="F29" s="814"/>
      <c r="G29" s="814"/>
      <c r="H29" s="814"/>
      <c r="I29" s="814"/>
      <c r="J29" s="814"/>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14"/>
      <c r="B30" s="814"/>
      <c r="C30" s="814" t="s">
        <v>717</v>
      </c>
      <c r="D30" s="814" t="s">
        <v>718</v>
      </c>
      <c r="E30" s="814" t="s">
        <v>615</v>
      </c>
      <c r="F30" s="814" t="s">
        <v>719</v>
      </c>
      <c r="G30" s="814" t="s">
        <v>720</v>
      </c>
      <c r="H30" s="814" t="s">
        <v>721</v>
      </c>
      <c r="I30" s="814" t="s">
        <v>722</v>
      </c>
      <c r="J30" s="814"/>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14"/>
      <c r="B31" s="814">
        <v>2018</v>
      </c>
      <c r="C31" s="900">
        <f>B23*(1+B24)</f>
        <v>61800</v>
      </c>
      <c r="D31" s="901">
        <f>D21+E20</f>
        <v>18380</v>
      </c>
      <c r="E31" s="189">
        <f>(F11-F10)*C13+(1-F11)*C12</f>
        <v>32270</v>
      </c>
      <c r="F31" s="189">
        <f>(G11-G10)*C13+(G12-G11)*C12+(G13-G12)*C11</f>
        <v>43390</v>
      </c>
      <c r="G31" s="901">
        <f>SUM(D31:F31)</f>
        <v>94040</v>
      </c>
      <c r="H31" s="189">
        <f>G31/$B$25</f>
        <v>303.35483870967744</v>
      </c>
      <c r="I31" s="900">
        <f>H31*C31</f>
        <v>18747329.032258067</v>
      </c>
      <c r="J31" s="814"/>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14"/>
      <c r="B32" s="814">
        <v>2019</v>
      </c>
      <c r="C32" s="900">
        <f>C31*(1+B24)</f>
        <v>63654</v>
      </c>
      <c r="D32" s="901">
        <f>E21</f>
        <v>4579.9999999999991</v>
      </c>
      <c r="E32" s="814">
        <f>(1-F11)*C13</f>
        <v>16029.999999999998</v>
      </c>
      <c r="F32" s="189">
        <f>(G12-G11)*C13+(G13-G12)*C12</f>
        <v>29830.000000000004</v>
      </c>
      <c r="G32" s="901">
        <f t="shared" ref="G32:G33" si="0">SUM(D32:F32)</f>
        <v>50440</v>
      </c>
      <c r="H32" s="189">
        <f t="shared" ref="H32:H33" si="1">G32/$B$25</f>
        <v>162.70967741935485</v>
      </c>
      <c r="I32" s="900">
        <f t="shared" ref="I32:I33" si="2">H32*C32</f>
        <v>10357121.806451613</v>
      </c>
      <c r="J32" s="814"/>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14"/>
      <c r="B33" s="814">
        <v>2020</v>
      </c>
      <c r="C33" s="900">
        <f>C32*(1+$B$24)</f>
        <v>65563.62</v>
      </c>
      <c r="D33" s="901"/>
      <c r="E33" s="814"/>
      <c r="F33" s="814">
        <f>(G13-G12)*C13</f>
        <v>4579.9999999999991</v>
      </c>
      <c r="G33" s="901">
        <f t="shared" si="0"/>
        <v>4579.9999999999991</v>
      </c>
      <c r="H33" s="189">
        <f t="shared" si="1"/>
        <v>14.774193548387094</v>
      </c>
      <c r="I33" s="900">
        <f t="shared" si="2"/>
        <v>968649.61161290295</v>
      </c>
      <c r="J33" s="814"/>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14"/>
      <c r="B34" s="814"/>
      <c r="C34" s="900"/>
      <c r="D34" s="901"/>
      <c r="E34" s="814"/>
      <c r="F34" s="814"/>
      <c r="G34" s="814"/>
      <c r="H34" s="814"/>
      <c r="I34" s="902">
        <f>SUM(I31:I33)</f>
        <v>30073100.450322583</v>
      </c>
      <c r="J34" s="814"/>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14"/>
      <c r="B35" s="814"/>
      <c r="C35" s="814"/>
      <c r="D35" s="814"/>
      <c r="E35" s="814"/>
      <c r="F35" s="814"/>
      <c r="G35" s="814"/>
      <c r="H35" s="814"/>
      <c r="I35" s="814"/>
      <c r="J35" s="814"/>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14"/>
      <c r="B36" s="814"/>
      <c r="C36" s="814"/>
      <c r="D36" s="814"/>
      <c r="E36" s="814"/>
      <c r="F36" s="814"/>
      <c r="G36" s="814"/>
      <c r="H36" s="814"/>
      <c r="I36" s="814"/>
      <c r="J36" s="814"/>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14"/>
      <c r="B37" s="814"/>
      <c r="C37" s="814"/>
      <c r="D37" s="814"/>
      <c r="E37" s="814"/>
      <c r="F37" s="814"/>
      <c r="G37" s="814"/>
      <c r="H37" s="814"/>
      <c r="I37" s="814"/>
      <c r="J37" s="814"/>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14"/>
      <c r="B38" s="814"/>
      <c r="C38" s="814"/>
      <c r="D38" s="814"/>
      <c r="E38" s="814"/>
      <c r="F38" s="814"/>
      <c r="G38" s="814"/>
      <c r="H38" s="814"/>
      <c r="I38" s="814"/>
      <c r="J38" s="814"/>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14"/>
      <c r="B39" s="814"/>
      <c r="C39" s="814"/>
      <c r="D39" s="814"/>
      <c r="E39" s="814"/>
      <c r="F39" s="814"/>
      <c r="G39" s="814"/>
      <c r="H39" s="814"/>
      <c r="I39" s="814"/>
      <c r="J39" s="814"/>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14"/>
      <c r="B40" s="814"/>
      <c r="C40" s="814"/>
      <c r="D40" s="814"/>
      <c r="E40" s="814"/>
      <c r="F40" s="814"/>
      <c r="G40" s="814"/>
      <c r="H40" s="814"/>
      <c r="I40" s="814"/>
      <c r="J40" s="814"/>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14"/>
      <c r="B41" s="814"/>
      <c r="C41" s="814"/>
      <c r="D41" s="814"/>
      <c r="E41" s="814"/>
      <c r="F41" s="814"/>
      <c r="G41" s="814"/>
      <c r="H41" s="814"/>
      <c r="I41" s="814"/>
      <c r="J41" s="814"/>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14"/>
      <c r="B42" s="814"/>
      <c r="C42" s="814"/>
      <c r="D42" s="814"/>
      <c r="E42" s="814"/>
      <c r="F42" s="814"/>
      <c r="G42" s="814"/>
      <c r="H42" s="814"/>
      <c r="I42" s="814"/>
      <c r="J42" s="814"/>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14"/>
      <c r="B43" s="814"/>
      <c r="C43" s="814"/>
      <c r="D43" s="814"/>
      <c r="E43" s="814"/>
      <c r="F43" s="814"/>
      <c r="G43" s="814"/>
      <c r="H43" s="814"/>
      <c r="I43" s="814"/>
      <c r="J43" s="814"/>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14"/>
      <c r="B44" s="814"/>
      <c r="C44" s="814"/>
      <c r="D44" s="814"/>
      <c r="E44" s="814"/>
      <c r="F44" s="814"/>
      <c r="G44" s="814"/>
      <c r="H44" s="814"/>
      <c r="I44" s="814"/>
      <c r="J44" s="814"/>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14"/>
      <c r="B45" s="814"/>
      <c r="C45" s="814"/>
      <c r="D45" s="814"/>
      <c r="E45" s="814"/>
      <c r="F45" s="814"/>
      <c r="G45" s="814"/>
      <c r="H45" s="814"/>
      <c r="I45" s="814"/>
      <c r="J45" s="814"/>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14"/>
      <c r="B46" s="814"/>
      <c r="C46" s="814"/>
      <c r="D46" s="814"/>
      <c r="E46" s="814"/>
      <c r="F46" s="814"/>
      <c r="G46" s="814"/>
      <c r="H46" s="814"/>
      <c r="I46" s="814"/>
      <c r="J46" s="814"/>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14"/>
      <c r="B47" s="814"/>
      <c r="C47" s="814"/>
      <c r="D47" s="814"/>
      <c r="E47" s="814"/>
      <c r="F47" s="814"/>
      <c r="G47" s="814"/>
      <c r="H47" s="814"/>
      <c r="I47" s="814"/>
      <c r="J47" s="814"/>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14"/>
      <c r="B48" s="814"/>
      <c r="C48" s="814"/>
      <c r="D48" s="814"/>
      <c r="E48" s="814"/>
      <c r="F48" s="814"/>
      <c r="G48" s="814"/>
      <c r="H48" s="814"/>
      <c r="I48" s="814"/>
      <c r="J48" s="814"/>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14"/>
      <c r="B49" s="814"/>
      <c r="C49" s="814"/>
      <c r="D49" s="814"/>
      <c r="E49" s="814"/>
      <c r="F49" s="814"/>
      <c r="G49" s="814"/>
      <c r="H49" s="814"/>
      <c r="I49" s="814"/>
      <c r="J49" s="814"/>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14"/>
      <c r="B50" s="814"/>
      <c r="C50" s="814"/>
      <c r="D50" s="814"/>
      <c r="E50" s="814"/>
      <c r="F50" s="814"/>
      <c r="G50" s="814"/>
      <c r="H50" s="814"/>
      <c r="I50" s="814"/>
      <c r="J50" s="814"/>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14"/>
      <c r="B51" s="814"/>
      <c r="C51" s="814"/>
      <c r="D51" s="814"/>
      <c r="E51" s="814"/>
      <c r="F51" s="814"/>
      <c r="G51" s="814"/>
      <c r="H51" s="814"/>
      <c r="I51" s="814"/>
      <c r="J51" s="814"/>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14"/>
      <c r="B52" s="814"/>
      <c r="C52" s="814"/>
      <c r="D52" s="814"/>
      <c r="E52" s="814"/>
      <c r="F52" s="814"/>
      <c r="G52" s="814"/>
      <c r="H52" s="814"/>
      <c r="I52" s="814"/>
      <c r="J52" s="814"/>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14"/>
      <c r="B53" s="814"/>
      <c r="C53" s="814"/>
      <c r="D53" s="814"/>
      <c r="E53" s="814"/>
      <c r="F53" s="814"/>
      <c r="G53" s="814"/>
      <c r="H53" s="814"/>
      <c r="I53" s="814"/>
      <c r="J53" s="814"/>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14"/>
      <c r="B54" s="814"/>
      <c r="C54" s="814"/>
      <c r="D54" s="814"/>
      <c r="E54" s="814"/>
      <c r="F54" s="814"/>
      <c r="G54" s="814"/>
      <c r="H54" s="814"/>
      <c r="I54" s="814"/>
      <c r="J54" s="814"/>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14"/>
      <c r="B55" s="814"/>
      <c r="C55" s="814"/>
      <c r="D55" s="814"/>
      <c r="E55" s="814"/>
      <c r="F55" s="814"/>
      <c r="G55" s="814"/>
      <c r="H55" s="814"/>
      <c r="I55" s="814"/>
      <c r="J55" s="814"/>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14"/>
      <c r="B56" s="814"/>
      <c r="C56" s="814"/>
      <c r="D56" s="814"/>
      <c r="E56" s="814"/>
      <c r="F56" s="814"/>
      <c r="G56" s="814"/>
      <c r="H56" s="814"/>
      <c r="I56" s="814"/>
      <c r="J56" s="814"/>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14"/>
      <c r="B57" s="814"/>
      <c r="C57" s="814"/>
      <c r="D57" s="814"/>
      <c r="E57" s="814"/>
      <c r="F57" s="814"/>
      <c r="G57" s="814"/>
      <c r="H57" s="814"/>
      <c r="I57" s="814"/>
      <c r="J57" s="814"/>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14"/>
      <c r="B58" s="814"/>
      <c r="C58" s="814"/>
      <c r="D58" s="814"/>
      <c r="E58" s="814"/>
      <c r="F58" s="814"/>
      <c r="G58" s="814"/>
      <c r="H58" s="814"/>
      <c r="I58" s="814"/>
      <c r="J58" s="814"/>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14"/>
      <c r="B59" s="814"/>
      <c r="C59" s="814"/>
      <c r="D59" s="814"/>
      <c r="E59" s="814"/>
      <c r="F59" s="814"/>
      <c r="G59" s="814"/>
      <c r="H59" s="814"/>
      <c r="I59" s="814"/>
      <c r="J59" s="814"/>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14"/>
      <c r="B60" s="814"/>
      <c r="C60" s="814"/>
      <c r="D60" s="814"/>
      <c r="E60" s="814"/>
      <c r="F60" s="814"/>
      <c r="G60" s="814"/>
      <c r="H60" s="814"/>
      <c r="I60" s="814"/>
      <c r="J60" s="814"/>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14"/>
      <c r="B61" s="814"/>
      <c r="C61" s="814"/>
      <c r="D61" s="814"/>
      <c r="E61" s="814"/>
      <c r="F61" s="814"/>
      <c r="G61" s="814"/>
      <c r="H61" s="814"/>
      <c r="I61" s="814"/>
      <c r="J61" s="814"/>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814"/>
      <c r="B62" s="814"/>
      <c r="C62" s="814"/>
      <c r="D62" s="814"/>
      <c r="E62" s="814"/>
      <c r="F62" s="814"/>
      <c r="G62" s="814"/>
      <c r="H62" s="814"/>
      <c r="I62" s="814"/>
      <c r="J62" s="814"/>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814"/>
      <c r="B63" s="814"/>
      <c r="C63" s="814"/>
      <c r="D63" s="814"/>
      <c r="E63" s="814"/>
      <c r="F63" s="814"/>
      <c r="G63" s="814"/>
      <c r="H63" s="814"/>
      <c r="I63" s="814"/>
      <c r="J63" s="814"/>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814"/>
      <c r="B64" s="814"/>
      <c r="C64" s="814"/>
      <c r="D64" s="814"/>
      <c r="E64" s="814"/>
      <c r="F64" s="814"/>
      <c r="G64" s="814"/>
      <c r="H64" s="814"/>
      <c r="I64" s="814"/>
      <c r="J64" s="814"/>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84" firstPageNumber="0" orientation="portrait"/>
  <headerFooter alignWithMargins="0">
    <oddHeader>&amp;CSpring 2018 Exam 5 Make-Up</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Z200"/>
  <sheetViews>
    <sheetView workbookViewId="0"/>
  </sheetViews>
  <sheetFormatPr defaultColWidth="0" defaultRowHeight="0" customHeight="1" zeroHeight="1" x14ac:dyDescent="0.25"/>
  <cols>
    <col min="1" max="6" width="12" style="37" customWidth="1"/>
    <col min="7" max="7" width="11.375" style="37" customWidth="1"/>
    <col min="8" max="49" width="9.375" style="37" customWidth="1"/>
    <col min="50" max="16384" width="9.375" style="37" hidden="1"/>
  </cols>
  <sheetData>
    <row r="1" spans="1:52" ht="15.75" customHeight="1" thickBot="1" x14ac:dyDescent="0.3">
      <c r="A1" s="1">
        <v>23</v>
      </c>
      <c r="B1" s="2"/>
      <c r="C1" s="811"/>
      <c r="D1" s="812"/>
      <c r="E1" s="812"/>
      <c r="F1" s="812"/>
      <c r="G1" s="812"/>
      <c r="H1" s="812"/>
      <c r="I1" s="813"/>
      <c r="J1" s="814"/>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815" t="s">
        <v>0</v>
      </c>
      <c r="B2" s="816"/>
      <c r="C2" s="816"/>
      <c r="D2" s="816"/>
      <c r="E2" s="816"/>
      <c r="F2" s="816"/>
      <c r="G2" s="816"/>
      <c r="H2" s="816"/>
      <c r="I2" s="817"/>
      <c r="J2" s="814"/>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818">
        <v>2.5</v>
      </c>
      <c r="B3" s="816"/>
      <c r="C3" s="816"/>
      <c r="D3" s="816"/>
      <c r="E3" s="816"/>
      <c r="F3" s="816"/>
      <c r="G3" s="816"/>
      <c r="H3" s="816"/>
      <c r="I3" s="817"/>
      <c r="J3" s="814"/>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819"/>
      <c r="B4" s="820" t="s">
        <v>692</v>
      </c>
      <c r="C4" s="821"/>
      <c r="D4" s="821"/>
      <c r="E4" s="821"/>
      <c r="F4" s="821"/>
      <c r="G4" s="821"/>
      <c r="H4" s="821"/>
      <c r="I4" s="822"/>
      <c r="J4" s="823"/>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819"/>
      <c r="B5" s="820"/>
      <c r="C5" s="821"/>
      <c r="D5" s="821"/>
      <c r="E5" s="821"/>
      <c r="F5" s="821"/>
      <c r="G5" s="821"/>
      <c r="H5" s="821"/>
      <c r="I5" s="822"/>
      <c r="J5" s="823"/>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thickBot="1" x14ac:dyDescent="0.3">
      <c r="A6" s="824"/>
      <c r="B6" s="825"/>
      <c r="C6" s="825"/>
      <c r="D6" s="825"/>
      <c r="E6" s="826"/>
      <c r="F6" s="827" t="s">
        <v>707</v>
      </c>
      <c r="G6" s="828" t="s">
        <v>708</v>
      </c>
      <c r="H6" s="829"/>
      <c r="I6" s="830"/>
      <c r="J6" s="823"/>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824"/>
      <c r="B7" s="826"/>
      <c r="C7" s="828" t="s">
        <v>571</v>
      </c>
      <c r="D7" s="825"/>
      <c r="E7" s="831"/>
      <c r="F7" s="832" t="s">
        <v>519</v>
      </c>
      <c r="G7" s="833" t="s">
        <v>519</v>
      </c>
      <c r="H7" s="829"/>
      <c r="I7" s="830"/>
      <c r="J7" s="823"/>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824"/>
      <c r="B8" s="831" t="s">
        <v>135</v>
      </c>
      <c r="C8" s="833" t="s">
        <v>519</v>
      </c>
      <c r="D8" s="825"/>
      <c r="E8" s="831"/>
      <c r="F8" s="832" t="s">
        <v>709</v>
      </c>
      <c r="G8" s="833" t="s">
        <v>709</v>
      </c>
      <c r="H8" s="829"/>
      <c r="I8" s="830"/>
      <c r="J8" s="823"/>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thickBot="1" x14ac:dyDescent="0.3">
      <c r="A9" s="824"/>
      <c r="B9" s="834" t="s">
        <v>83</v>
      </c>
      <c r="C9" s="835" t="s">
        <v>710</v>
      </c>
      <c r="D9" s="825"/>
      <c r="E9" s="834" t="s">
        <v>537</v>
      </c>
      <c r="F9" s="836" t="s">
        <v>711</v>
      </c>
      <c r="G9" s="835" t="s">
        <v>711</v>
      </c>
      <c r="H9" s="829"/>
      <c r="I9" s="830"/>
      <c r="J9" s="823"/>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824"/>
      <c r="B10" s="837">
        <v>2014</v>
      </c>
      <c r="C10" s="838">
        <v>43300</v>
      </c>
      <c r="D10" s="839"/>
      <c r="E10" s="837">
        <v>12</v>
      </c>
      <c r="F10" s="840">
        <v>0.3</v>
      </c>
      <c r="G10" s="841">
        <v>0.05</v>
      </c>
      <c r="H10" s="842"/>
      <c r="I10" s="843"/>
      <c r="J10" s="823"/>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824"/>
      <c r="B11" s="844">
        <v>2015</v>
      </c>
      <c r="C11" s="845">
        <v>41300</v>
      </c>
      <c r="D11" s="839"/>
      <c r="E11" s="844">
        <v>24</v>
      </c>
      <c r="F11" s="846">
        <v>0.65</v>
      </c>
      <c r="G11" s="847">
        <v>0.35</v>
      </c>
      <c r="H11" s="842"/>
      <c r="I11" s="843"/>
      <c r="J11" s="823"/>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x14ac:dyDescent="0.25">
      <c r="A12" s="824"/>
      <c r="B12" s="844">
        <v>2016</v>
      </c>
      <c r="C12" s="845">
        <v>46400</v>
      </c>
      <c r="D12" s="839"/>
      <c r="E12" s="844">
        <v>36</v>
      </c>
      <c r="F12" s="846">
        <v>1</v>
      </c>
      <c r="G12" s="847">
        <v>0.9</v>
      </c>
      <c r="H12" s="842"/>
      <c r="I12" s="843"/>
      <c r="J12" s="823"/>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thickBot="1" x14ac:dyDescent="0.3">
      <c r="A13" s="824"/>
      <c r="B13" s="848">
        <v>2017</v>
      </c>
      <c r="C13" s="849">
        <v>45800</v>
      </c>
      <c r="D13" s="839"/>
      <c r="E13" s="850">
        <v>48</v>
      </c>
      <c r="F13" s="851">
        <v>1</v>
      </c>
      <c r="G13" s="852">
        <v>1</v>
      </c>
      <c r="H13" s="842"/>
      <c r="I13" s="843"/>
      <c r="J13" s="823"/>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824"/>
      <c r="B14" s="853"/>
      <c r="C14" s="853"/>
      <c r="D14" s="839"/>
      <c r="E14" s="854"/>
      <c r="F14" s="855"/>
      <c r="G14" s="855"/>
      <c r="H14" s="842"/>
      <c r="I14" s="843"/>
      <c r="J14" s="823"/>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thickBot="1" x14ac:dyDescent="0.3">
      <c r="A15" s="824"/>
      <c r="B15" s="854"/>
      <c r="C15" s="856"/>
      <c r="D15" s="839"/>
      <c r="E15" s="854"/>
      <c r="F15" s="855"/>
      <c r="G15" s="855"/>
      <c r="H15" s="842"/>
      <c r="I15" s="843"/>
      <c r="J15" s="823"/>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824"/>
      <c r="B16" s="857" t="s">
        <v>135</v>
      </c>
      <c r="C16" s="858" t="s">
        <v>712</v>
      </c>
      <c r="D16" s="858"/>
      <c r="E16" s="858"/>
      <c r="F16" s="859"/>
      <c r="G16" s="860"/>
      <c r="H16" s="842"/>
      <c r="I16" s="843"/>
      <c r="J16" s="823"/>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thickBot="1" x14ac:dyDescent="0.3">
      <c r="A17" s="824"/>
      <c r="B17" s="861" t="s">
        <v>83</v>
      </c>
      <c r="C17" s="862">
        <v>12</v>
      </c>
      <c r="D17" s="862">
        <v>24</v>
      </c>
      <c r="E17" s="862">
        <v>36</v>
      </c>
      <c r="F17" s="863">
        <v>48</v>
      </c>
      <c r="G17" s="864"/>
      <c r="H17" s="842"/>
      <c r="I17" s="843"/>
      <c r="J17" s="823"/>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824"/>
      <c r="B18" s="865">
        <v>2014</v>
      </c>
      <c r="C18" s="866"/>
      <c r="D18" s="867"/>
      <c r="E18" s="867"/>
      <c r="F18" s="868"/>
      <c r="G18" s="869"/>
      <c r="H18" s="842"/>
      <c r="I18" s="843"/>
      <c r="J18" s="823"/>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824"/>
      <c r="B19" s="870">
        <v>2015</v>
      </c>
      <c r="C19" s="871"/>
      <c r="D19" s="869"/>
      <c r="E19" s="869"/>
      <c r="F19" s="872">
        <v>0</v>
      </c>
      <c r="G19" s="869"/>
      <c r="H19" s="842"/>
      <c r="I19" s="843"/>
      <c r="J19" s="823"/>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824"/>
      <c r="B20" s="870">
        <v>2016</v>
      </c>
      <c r="C20" s="871"/>
      <c r="D20" s="869"/>
      <c r="E20" s="869">
        <v>4639.9999999999991</v>
      </c>
      <c r="F20" s="872">
        <v>0</v>
      </c>
      <c r="G20" s="869"/>
      <c r="H20" s="842"/>
      <c r="I20" s="843"/>
      <c r="J20" s="823"/>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thickBot="1" x14ac:dyDescent="0.3">
      <c r="A21" s="824"/>
      <c r="B21" s="873">
        <v>2017</v>
      </c>
      <c r="C21" s="874"/>
      <c r="D21" s="875">
        <v>13740.000000000002</v>
      </c>
      <c r="E21" s="875">
        <v>4579.9999999999991</v>
      </c>
      <c r="F21" s="876">
        <v>0</v>
      </c>
      <c r="G21" s="869"/>
      <c r="H21" s="842"/>
      <c r="I21" s="843"/>
      <c r="J21" s="823"/>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thickBot="1" x14ac:dyDescent="0.3">
      <c r="A22" s="824"/>
      <c r="B22" s="854"/>
      <c r="C22" s="856"/>
      <c r="D22" s="839"/>
      <c r="E22" s="854"/>
      <c r="F22" s="855"/>
      <c r="G22" s="855"/>
      <c r="H22" s="842"/>
      <c r="I22" s="843"/>
      <c r="J22" s="823"/>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824"/>
      <c r="B23" s="877">
        <v>60000</v>
      </c>
      <c r="C23" s="878" t="s">
        <v>713</v>
      </c>
      <c r="D23" s="879"/>
      <c r="E23" s="879"/>
      <c r="F23" s="879"/>
      <c r="G23" s="879"/>
      <c r="H23" s="880"/>
      <c r="I23" s="843"/>
      <c r="J23" s="823"/>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824"/>
      <c r="B24" s="881">
        <v>0.03</v>
      </c>
      <c r="C24" s="882" t="s">
        <v>714</v>
      </c>
      <c r="D24" s="883"/>
      <c r="E24" s="883"/>
      <c r="F24" s="883"/>
      <c r="G24" s="883"/>
      <c r="H24" s="884"/>
      <c r="I24" s="843"/>
      <c r="J24" s="823"/>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thickBot="1" x14ac:dyDescent="0.3">
      <c r="A25" s="824"/>
      <c r="B25" s="885">
        <v>310</v>
      </c>
      <c r="C25" s="886" t="s">
        <v>715</v>
      </c>
      <c r="D25" s="887"/>
      <c r="E25" s="887"/>
      <c r="F25" s="887"/>
      <c r="G25" s="887"/>
      <c r="H25" s="888"/>
      <c r="I25" s="843"/>
      <c r="J25" s="823"/>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824"/>
      <c r="B26" s="889"/>
      <c r="C26" s="890"/>
      <c r="D26" s="891"/>
      <c r="E26" s="892"/>
      <c r="F26" s="892"/>
      <c r="G26" s="893"/>
      <c r="H26" s="890"/>
      <c r="I26" s="894"/>
      <c r="J26" s="823"/>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4"/>
      <c r="B27" s="889" t="s">
        <v>716</v>
      </c>
      <c r="C27" s="890"/>
      <c r="D27" s="891"/>
      <c r="E27" s="892"/>
      <c r="F27" s="892"/>
      <c r="G27" s="893"/>
      <c r="H27" s="890"/>
      <c r="I27" s="894"/>
      <c r="J27" s="814"/>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thickBot="1" x14ac:dyDescent="0.3">
      <c r="A28" s="895"/>
      <c r="B28" s="896"/>
      <c r="C28" s="897"/>
      <c r="D28" s="897"/>
      <c r="E28" s="897"/>
      <c r="F28" s="897"/>
      <c r="G28" s="898"/>
      <c r="H28" s="897"/>
      <c r="I28" s="899"/>
      <c r="J28" s="814"/>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thickBot="1" x14ac:dyDescent="0.3">
      <c r="A29" s="814"/>
      <c r="B29" s="814"/>
      <c r="C29" s="814"/>
      <c r="D29" s="814"/>
      <c r="E29" s="814"/>
      <c r="F29" s="814"/>
      <c r="G29" s="814"/>
      <c r="H29" s="814"/>
      <c r="I29" s="814"/>
      <c r="J29" s="814"/>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14"/>
      <c r="B30" s="857" t="s">
        <v>135</v>
      </c>
      <c r="C30" s="858" t="s">
        <v>723</v>
      </c>
      <c r="D30" s="858"/>
      <c r="E30" s="858"/>
      <c r="F30" s="859"/>
      <c r="G30" s="814"/>
      <c r="H30" s="903" t="s">
        <v>571</v>
      </c>
      <c r="I30" s="36"/>
      <c r="J30" s="814"/>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thickBot="1" x14ac:dyDescent="0.3">
      <c r="A31" s="814"/>
      <c r="B31" s="861" t="s">
        <v>83</v>
      </c>
      <c r="C31" s="862">
        <v>12</v>
      </c>
      <c r="D31" s="862">
        <v>24</v>
      </c>
      <c r="E31" s="862">
        <v>36</v>
      </c>
      <c r="F31" s="863">
        <v>48</v>
      </c>
      <c r="G31" s="814"/>
      <c r="H31" s="904" t="s">
        <v>710</v>
      </c>
      <c r="I31" s="36"/>
      <c r="J31" s="814"/>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14"/>
      <c r="B32" s="865">
        <v>2014</v>
      </c>
      <c r="C32" s="866"/>
      <c r="D32" s="867"/>
      <c r="E32" s="867"/>
      <c r="F32" s="868"/>
      <c r="G32" s="814"/>
      <c r="H32" s="905">
        <v>43300</v>
      </c>
      <c r="I32" s="36"/>
      <c r="J32" s="814"/>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14"/>
      <c r="B33" s="870">
        <v>2015</v>
      </c>
      <c r="C33" s="871"/>
      <c r="D33" s="869"/>
      <c r="E33" s="869"/>
      <c r="F33" s="872">
        <f>($F$13-$F$12)*H33</f>
        <v>0</v>
      </c>
      <c r="G33" s="814"/>
      <c r="H33" s="906">
        <v>41300</v>
      </c>
      <c r="I33" s="36"/>
      <c r="J33" s="814"/>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14"/>
      <c r="B34" s="870">
        <v>2016</v>
      </c>
      <c r="C34" s="871"/>
      <c r="D34" s="869"/>
      <c r="E34" s="869">
        <f>($F$12-$F$11)*H34</f>
        <v>16239.999999999998</v>
      </c>
      <c r="F34" s="872">
        <f>($F$13-$F$12)*H34</f>
        <v>0</v>
      </c>
      <c r="G34" s="814"/>
      <c r="H34" s="906">
        <v>46400</v>
      </c>
      <c r="I34" s="36"/>
      <c r="J34" s="814"/>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thickBot="1" x14ac:dyDescent="0.3">
      <c r="A35" s="814"/>
      <c r="B35" s="873">
        <v>2017</v>
      </c>
      <c r="C35" s="874"/>
      <c r="D35" s="875">
        <f>($F$11-$F$10)*H35</f>
        <v>16030.000000000002</v>
      </c>
      <c r="E35" s="875">
        <f>($F$12-$F$11)*H35</f>
        <v>16029.999999999998</v>
      </c>
      <c r="F35" s="876">
        <f>($F$13-$F$12)*H35</f>
        <v>0</v>
      </c>
      <c r="G35" s="814"/>
      <c r="H35" s="907">
        <v>45800</v>
      </c>
      <c r="I35" s="36"/>
      <c r="J35" s="814"/>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thickBot="1" x14ac:dyDescent="0.3">
      <c r="A36" s="814"/>
      <c r="B36" s="814"/>
      <c r="C36" s="814"/>
      <c r="D36" s="814"/>
      <c r="E36" s="814"/>
      <c r="F36" s="814"/>
      <c r="G36" s="814"/>
      <c r="H36" s="36"/>
      <c r="I36" s="36"/>
      <c r="J36" s="814"/>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14"/>
      <c r="B37" s="857" t="s">
        <v>135</v>
      </c>
      <c r="C37" s="858" t="s">
        <v>724</v>
      </c>
      <c r="D37" s="858"/>
      <c r="E37" s="858"/>
      <c r="F37" s="859"/>
      <c r="G37" s="814"/>
      <c r="H37" s="814"/>
      <c r="I37" s="814"/>
      <c r="J37" s="814"/>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thickBot="1" x14ac:dyDescent="0.3">
      <c r="A38" s="814"/>
      <c r="B38" s="861" t="s">
        <v>83</v>
      </c>
      <c r="C38" s="862">
        <v>12</v>
      </c>
      <c r="D38" s="862">
        <v>24</v>
      </c>
      <c r="E38" s="862">
        <v>36</v>
      </c>
      <c r="F38" s="863">
        <v>48</v>
      </c>
      <c r="G38" s="814"/>
      <c r="H38" s="814"/>
      <c r="I38" s="814"/>
      <c r="J38" s="814"/>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14"/>
      <c r="B39" s="865">
        <v>2014</v>
      </c>
      <c r="C39" s="866"/>
      <c r="D39" s="867"/>
      <c r="E39" s="867"/>
      <c r="F39" s="868"/>
      <c r="G39" s="814"/>
      <c r="H39" s="814"/>
      <c r="I39" s="814"/>
      <c r="J39" s="814"/>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14"/>
      <c r="B40" s="870">
        <v>2015</v>
      </c>
      <c r="C40" s="871"/>
      <c r="D40" s="869"/>
      <c r="E40" s="869"/>
      <c r="F40" s="872">
        <f>($G$13-$G$12)*H33</f>
        <v>4129.9999999999991</v>
      </c>
      <c r="G40" s="814"/>
      <c r="H40" s="814"/>
      <c r="I40" s="814"/>
      <c r="J40" s="814"/>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14"/>
      <c r="B41" s="870">
        <v>2016</v>
      </c>
      <c r="C41" s="871"/>
      <c r="D41" s="869"/>
      <c r="E41" s="869">
        <f>($G$12-$G$11)*H34</f>
        <v>25520.000000000004</v>
      </c>
      <c r="F41" s="872">
        <f>($G$13-$G$12)*H34</f>
        <v>4639.9999999999991</v>
      </c>
      <c r="G41" s="814"/>
      <c r="H41" s="814"/>
      <c r="I41" s="814"/>
      <c r="J41" s="814"/>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thickBot="1" x14ac:dyDescent="0.3">
      <c r="A42" s="814"/>
      <c r="B42" s="873">
        <v>2017</v>
      </c>
      <c r="C42" s="874"/>
      <c r="D42" s="875">
        <f>($G$11-$G$10)*H35</f>
        <v>13740</v>
      </c>
      <c r="E42" s="875">
        <f>($G$12-$G$11)*H35</f>
        <v>25190.000000000004</v>
      </c>
      <c r="F42" s="876">
        <f>($G$13-$G$12)*H35</f>
        <v>4579.9999999999991</v>
      </c>
      <c r="G42" s="814"/>
      <c r="H42" s="814"/>
      <c r="I42" s="814"/>
      <c r="J42" s="814"/>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thickBot="1" x14ac:dyDescent="0.3">
      <c r="A43" s="814"/>
      <c r="B43" s="814"/>
      <c r="C43" s="814"/>
      <c r="D43" s="814"/>
      <c r="E43" s="814"/>
      <c r="F43" s="814"/>
      <c r="G43" s="814"/>
      <c r="H43" s="814"/>
      <c r="I43" s="814"/>
      <c r="J43" s="814"/>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14"/>
      <c r="B44" s="857" t="s">
        <v>135</v>
      </c>
      <c r="C44" s="858" t="s">
        <v>712</v>
      </c>
      <c r="D44" s="858"/>
      <c r="E44" s="858"/>
      <c r="F44" s="859"/>
      <c r="G44" s="814"/>
      <c r="H44" s="814"/>
      <c r="I44" s="814"/>
      <c r="J44" s="814"/>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thickBot="1" x14ac:dyDescent="0.3">
      <c r="A45" s="814"/>
      <c r="B45" s="861" t="s">
        <v>83</v>
      </c>
      <c r="C45" s="862">
        <v>12</v>
      </c>
      <c r="D45" s="862">
        <v>24</v>
      </c>
      <c r="E45" s="862">
        <v>36</v>
      </c>
      <c r="F45" s="863">
        <v>48</v>
      </c>
      <c r="G45" s="814"/>
      <c r="H45" s="814"/>
      <c r="I45" s="814"/>
      <c r="J45" s="814"/>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14"/>
      <c r="B46" s="865">
        <v>2014</v>
      </c>
      <c r="C46" s="866"/>
      <c r="D46" s="867"/>
      <c r="E46" s="867"/>
      <c r="F46" s="868"/>
      <c r="G46" s="814"/>
      <c r="H46" s="814"/>
      <c r="I46" s="814"/>
      <c r="J46" s="814"/>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14"/>
      <c r="B47" s="870">
        <v>2015</v>
      </c>
      <c r="C47" s="871"/>
      <c r="D47" s="869"/>
      <c r="E47" s="869"/>
      <c r="F47" s="872">
        <v>0</v>
      </c>
      <c r="G47" s="814"/>
      <c r="H47" s="814"/>
      <c r="I47" s="814"/>
      <c r="J47" s="814"/>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14"/>
      <c r="B48" s="870">
        <v>2016</v>
      </c>
      <c r="C48" s="871"/>
      <c r="D48" s="869"/>
      <c r="E48" s="869">
        <v>4639.9999999999991</v>
      </c>
      <c r="F48" s="872">
        <v>0</v>
      </c>
      <c r="G48" s="814"/>
      <c r="H48" s="814"/>
      <c r="I48" s="814"/>
      <c r="J48" s="814"/>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thickBot="1" x14ac:dyDescent="0.3">
      <c r="A49" s="814"/>
      <c r="B49" s="873">
        <v>2017</v>
      </c>
      <c r="C49" s="874"/>
      <c r="D49" s="875">
        <v>13740.000000000002</v>
      </c>
      <c r="E49" s="875">
        <v>4579.9999999999991</v>
      </c>
      <c r="F49" s="876">
        <v>0</v>
      </c>
      <c r="G49" s="814"/>
      <c r="H49" s="814"/>
      <c r="I49" s="814"/>
      <c r="J49" s="814"/>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14"/>
      <c r="B50" s="814"/>
      <c r="C50" s="814"/>
      <c r="D50" s="814"/>
      <c r="E50" s="814"/>
      <c r="F50" s="814"/>
      <c r="G50" s="814"/>
      <c r="H50" s="814"/>
      <c r="I50" s="814"/>
      <c r="J50" s="814"/>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thickBot="1" x14ac:dyDescent="0.3">
      <c r="A51" s="814"/>
      <c r="B51" s="814" t="s">
        <v>722</v>
      </c>
      <c r="C51" s="814"/>
      <c r="D51" s="814"/>
      <c r="E51" s="814"/>
      <c r="F51" s="814"/>
      <c r="G51" s="814"/>
      <c r="H51" s="814"/>
      <c r="I51" s="814"/>
      <c r="J51" s="814"/>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thickBot="1" x14ac:dyDescent="0.3">
      <c r="A52" s="814"/>
      <c r="B52" s="36"/>
      <c r="C52" s="36"/>
      <c r="D52" s="858" t="s">
        <v>725</v>
      </c>
      <c r="E52" s="814"/>
      <c r="F52" s="814"/>
      <c r="G52" s="814"/>
      <c r="H52" s="814"/>
      <c r="I52" s="814"/>
      <c r="J52" s="814"/>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14"/>
      <c r="B53" s="857"/>
      <c r="C53" s="858" t="s">
        <v>726</v>
      </c>
      <c r="D53" s="858"/>
      <c r="E53" s="814"/>
      <c r="F53" s="814"/>
      <c r="G53" s="814"/>
      <c r="H53" s="814"/>
      <c r="I53" s="814"/>
      <c r="J53" s="814"/>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thickBot="1" x14ac:dyDescent="0.3">
      <c r="A54" s="814"/>
      <c r="B54" s="861" t="s">
        <v>727</v>
      </c>
      <c r="C54" s="862">
        <v>2018</v>
      </c>
      <c r="D54" s="862">
        <v>2019</v>
      </c>
      <c r="E54" s="862">
        <v>2020</v>
      </c>
      <c r="F54" s="814"/>
      <c r="G54" s="814"/>
      <c r="H54" s="814"/>
      <c r="I54" s="814"/>
      <c r="J54" s="814"/>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14"/>
      <c r="B55" s="865">
        <v>2014</v>
      </c>
      <c r="C55" s="901">
        <f>0</f>
        <v>0</v>
      </c>
      <c r="D55" s="814">
        <v>0</v>
      </c>
      <c r="E55" s="814">
        <v>0</v>
      </c>
      <c r="F55" s="814"/>
      <c r="G55" s="814"/>
      <c r="H55" s="814"/>
      <c r="I55" s="814"/>
      <c r="J55" s="814"/>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14"/>
      <c r="B56" s="870">
        <v>2015</v>
      </c>
      <c r="C56" s="901">
        <f>SUM(F33,F40,F47)</f>
        <v>4129.9999999999991</v>
      </c>
      <c r="D56" s="814">
        <v>0</v>
      </c>
      <c r="E56" s="814">
        <v>0</v>
      </c>
      <c r="F56" s="814"/>
      <c r="G56" s="814"/>
      <c r="H56" s="814"/>
      <c r="I56" s="814"/>
      <c r="J56" s="814"/>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14"/>
      <c r="B57" s="870">
        <v>2016</v>
      </c>
      <c r="C57" s="901">
        <f>SUM(E34,E41,E48)</f>
        <v>46400</v>
      </c>
      <c r="D57" s="901">
        <f>SUM(F34,F41,F48)</f>
        <v>4639.9999999999991</v>
      </c>
      <c r="E57" s="814">
        <v>0</v>
      </c>
      <c r="F57" s="814"/>
      <c r="G57" s="814"/>
      <c r="H57" s="814"/>
      <c r="I57" s="814"/>
      <c r="J57" s="814"/>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thickBot="1" x14ac:dyDescent="0.3">
      <c r="A58" s="814"/>
      <c r="B58" s="873">
        <v>2017</v>
      </c>
      <c r="C58" s="901">
        <f>SUM(D35,D42,D49)</f>
        <v>43510</v>
      </c>
      <c r="D58" s="901">
        <f>SUM(E35,E42,E49)</f>
        <v>45800</v>
      </c>
      <c r="E58" s="901">
        <f>F35+F42+F49</f>
        <v>4579.9999999999991</v>
      </c>
      <c r="F58" s="814"/>
      <c r="G58" s="814"/>
      <c r="H58" s="814"/>
      <c r="I58" s="814"/>
      <c r="J58" s="814"/>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thickBot="1" x14ac:dyDescent="0.3">
      <c r="A59" s="814"/>
      <c r="B59" s="873" t="s">
        <v>25</v>
      </c>
      <c r="C59" s="901">
        <f>SUM(C55:C58)</f>
        <v>94040</v>
      </c>
      <c r="D59" s="901">
        <f>SUM(D55:D58)</f>
        <v>50440</v>
      </c>
      <c r="E59" s="901">
        <f>SUM(E55:E58)</f>
        <v>4579.9999999999991</v>
      </c>
      <c r="F59" s="814"/>
      <c r="G59" s="814"/>
      <c r="H59" s="814"/>
      <c r="I59" s="814"/>
      <c r="J59" s="814"/>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14"/>
      <c r="B60" s="814" t="s">
        <v>728</v>
      </c>
      <c r="C60" s="814">
        <f>C59/$B$25</f>
        <v>303.35483870967744</v>
      </c>
      <c r="D60" s="814">
        <f>D59/$B$25</f>
        <v>162.70967741935485</v>
      </c>
      <c r="E60" s="814">
        <f>E59/$B$25</f>
        <v>14.774193548387094</v>
      </c>
      <c r="F60" s="814"/>
      <c r="G60" s="814"/>
      <c r="H60" s="814"/>
      <c r="I60" s="814"/>
      <c r="J60" s="814"/>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14"/>
      <c r="B61" s="814" t="s">
        <v>729</v>
      </c>
      <c r="C61" s="814">
        <f>$B$23*(1+$B$24)</f>
        <v>61800</v>
      </c>
      <c r="D61" s="814">
        <f>$B$23*(1+$B$24)^2</f>
        <v>63654</v>
      </c>
      <c r="E61" s="814">
        <f>$B$23*(1+$B$24)^3</f>
        <v>65563.62</v>
      </c>
      <c r="F61" s="814"/>
      <c r="G61" s="814"/>
      <c r="H61" s="814"/>
      <c r="I61" s="814"/>
      <c r="J61" s="814"/>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814"/>
      <c r="B62" s="814" t="s">
        <v>722</v>
      </c>
      <c r="C62" s="814">
        <f>C60*C61</f>
        <v>18747329.032258067</v>
      </c>
      <c r="D62" s="814">
        <f>D60*D61</f>
        <v>10357121.806451613</v>
      </c>
      <c r="E62" s="814">
        <f>E60*E61</f>
        <v>968649.61161290295</v>
      </c>
      <c r="F62" s="908">
        <f>SUM(C62:E62)</f>
        <v>30073100.450322583</v>
      </c>
      <c r="G62" s="814"/>
      <c r="H62" s="814"/>
      <c r="I62" s="814"/>
      <c r="J62" s="814"/>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814"/>
      <c r="B63" s="814"/>
      <c r="C63" s="814"/>
      <c r="D63" s="814"/>
      <c r="E63" s="814"/>
      <c r="F63" s="814"/>
      <c r="G63" s="814"/>
      <c r="H63" s="814"/>
      <c r="I63" s="814"/>
      <c r="J63" s="814"/>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814"/>
      <c r="B64" s="814"/>
      <c r="C64" s="814"/>
      <c r="D64" s="814"/>
      <c r="E64" s="814"/>
      <c r="F64" s="814"/>
      <c r="G64" s="814"/>
      <c r="H64" s="814"/>
      <c r="I64" s="814"/>
      <c r="J64" s="814"/>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84" firstPageNumber="0" orientation="portrait"/>
  <headerFooter alignWithMargins="0">
    <oddHeader>&amp;CSpring 2018 Exam 5 Make-Up</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Z200"/>
  <sheetViews>
    <sheetView zoomScale="90" zoomScaleNormal="90" zoomScalePageLayoutView="90" workbookViewId="0"/>
  </sheetViews>
  <sheetFormatPr defaultColWidth="0" defaultRowHeight="0" customHeight="1" zeroHeight="1" x14ac:dyDescent="0.2"/>
  <cols>
    <col min="1" max="6" width="12.5" style="972" customWidth="1"/>
    <col min="7" max="10" width="8" style="972" customWidth="1"/>
    <col min="11" max="11" width="8.5" style="972" customWidth="1"/>
    <col min="12" max="13" width="8" style="972" customWidth="1"/>
    <col min="14" max="14" width="9.25" style="972" customWidth="1"/>
    <col min="15" max="16" width="8" style="972" customWidth="1"/>
    <col min="17" max="49" width="8" style="6" customWidth="1"/>
    <col min="50" max="16384" width="8" style="6" hidden="1"/>
  </cols>
  <sheetData>
    <row r="1" spans="1:52" ht="15.75" customHeight="1" thickBot="1" x14ac:dyDescent="0.25">
      <c r="A1" s="330">
        <v>24</v>
      </c>
      <c r="B1" s="331"/>
      <c r="C1" s="909"/>
      <c r="D1" s="909"/>
      <c r="E1" s="909"/>
      <c r="F1" s="909"/>
      <c r="G1" s="909"/>
      <c r="H1" s="909"/>
      <c r="I1" s="910"/>
      <c r="J1" s="911" t="s">
        <v>19</v>
      </c>
      <c r="K1" s="912"/>
      <c r="L1" s="913"/>
      <c r="M1" s="914"/>
      <c r="N1" s="914"/>
      <c r="O1" s="914"/>
      <c r="P1" s="915"/>
      <c r="Q1" s="911"/>
      <c r="R1" s="911"/>
      <c r="S1" s="911"/>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row>
    <row r="2" spans="1:52" ht="15.75" customHeight="1" x14ac:dyDescent="0.2">
      <c r="A2" s="916" t="s">
        <v>0</v>
      </c>
      <c r="B2" s="917"/>
      <c r="C2" s="917"/>
      <c r="D2" s="917"/>
      <c r="E2" s="917"/>
      <c r="F2" s="917"/>
      <c r="G2" s="917"/>
      <c r="H2" s="918"/>
      <c r="I2" s="919"/>
      <c r="J2" s="911"/>
      <c r="K2" s="920" t="s">
        <v>135</v>
      </c>
      <c r="L2" s="921" t="s">
        <v>730</v>
      </c>
      <c r="M2" s="922"/>
      <c r="N2" s="922"/>
      <c r="O2" s="922"/>
      <c r="P2" s="923"/>
      <c r="Q2" s="911"/>
      <c r="R2" s="911"/>
      <c r="S2" s="911"/>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row>
    <row r="3" spans="1:52" ht="15.75" customHeight="1" thickBot="1" x14ac:dyDescent="0.25">
      <c r="A3" s="924">
        <v>2</v>
      </c>
      <c r="B3" s="917"/>
      <c r="C3" s="917"/>
      <c r="D3" s="917"/>
      <c r="E3" s="917"/>
      <c r="F3" s="917"/>
      <c r="G3" s="917"/>
      <c r="H3" s="918"/>
      <c r="I3" s="919"/>
      <c r="J3" s="911"/>
      <c r="K3" s="925" t="s">
        <v>83</v>
      </c>
      <c r="L3" s="926" t="s">
        <v>183</v>
      </c>
      <c r="M3" s="927" t="s">
        <v>184</v>
      </c>
      <c r="N3" s="927" t="s">
        <v>587</v>
      </c>
      <c r="O3" s="927" t="s">
        <v>731</v>
      </c>
      <c r="P3" s="928" t="s">
        <v>732</v>
      </c>
      <c r="Q3" s="911"/>
      <c r="R3" s="911"/>
      <c r="S3" s="911"/>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row>
    <row r="4" spans="1:52" ht="15.75" customHeight="1" thickBot="1" x14ac:dyDescent="0.25">
      <c r="A4" s="924"/>
      <c r="B4" s="929" t="s">
        <v>692</v>
      </c>
      <c r="C4" s="917"/>
      <c r="D4" s="917"/>
      <c r="E4" s="917"/>
      <c r="F4" s="917"/>
      <c r="G4" s="930"/>
      <c r="H4" s="918"/>
      <c r="I4" s="919"/>
      <c r="J4" s="911"/>
      <c r="K4" s="931">
        <v>2013</v>
      </c>
      <c r="L4" s="932">
        <f>D9/C9</f>
        <v>4.7214285714285715</v>
      </c>
      <c r="M4" s="932">
        <f t="shared" ref="M4:P6" si="0">E9/D9</f>
        <v>1.5002521432173475</v>
      </c>
      <c r="N4" s="932">
        <f t="shared" si="0"/>
        <v>1.2003361344537815</v>
      </c>
      <c r="O4" s="932">
        <f t="shared" si="0"/>
        <v>1.0501260151218146</v>
      </c>
      <c r="P4" s="932">
        <f t="shared" si="0"/>
        <v>10.133333333333333</v>
      </c>
      <c r="Q4" s="911"/>
      <c r="R4" s="911"/>
      <c r="S4" s="911"/>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row>
    <row r="5" spans="1:52" ht="15.75" customHeight="1" thickBot="1" x14ac:dyDescent="0.25">
      <c r="A5" s="924"/>
      <c r="B5" s="929"/>
      <c r="C5" s="917"/>
      <c r="D5" s="917"/>
      <c r="E5" s="917"/>
      <c r="F5" s="917"/>
      <c r="G5" s="930"/>
      <c r="H5" s="918"/>
      <c r="I5" s="919"/>
      <c r="J5" s="911"/>
      <c r="K5" s="933">
        <v>2014</v>
      </c>
      <c r="L5" s="932">
        <f t="shared" ref="L5:L7" si="1">D10/C10</f>
        <v>5.3237410071942444</v>
      </c>
      <c r="M5" s="932">
        <f t="shared" si="0"/>
        <v>1.5013513513513514</v>
      </c>
      <c r="N5" s="932">
        <f t="shared" si="0"/>
        <v>1.2001200120012001</v>
      </c>
      <c r="O5" s="932"/>
      <c r="P5" s="932"/>
      <c r="Q5" s="911"/>
      <c r="R5" s="911"/>
      <c r="S5" s="911"/>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row>
    <row r="6" spans="1:52" ht="15.75" customHeight="1" thickBot="1" x14ac:dyDescent="0.25">
      <c r="A6" s="924"/>
      <c r="B6" s="912"/>
      <c r="C6" s="914"/>
      <c r="D6" s="914"/>
      <c r="E6" s="914"/>
      <c r="F6" s="914"/>
      <c r="G6" s="914"/>
      <c r="H6" s="934" t="s">
        <v>287</v>
      </c>
      <c r="I6" s="919"/>
      <c r="J6" s="911"/>
      <c r="K6" s="933">
        <v>2015</v>
      </c>
      <c r="L6" s="932">
        <f t="shared" si="1"/>
        <v>4.8972746331236898</v>
      </c>
      <c r="M6" s="932">
        <f t="shared" si="0"/>
        <v>1.4982876712328768</v>
      </c>
      <c r="N6" s="932"/>
      <c r="O6" s="932"/>
      <c r="P6" s="932"/>
      <c r="Q6" s="911"/>
      <c r="R6" s="911"/>
      <c r="S6" s="911"/>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row>
    <row r="7" spans="1:52" ht="15.75" customHeight="1" thickBot="1" x14ac:dyDescent="0.25">
      <c r="A7" s="924"/>
      <c r="B7" s="920" t="s">
        <v>135</v>
      </c>
      <c r="C7" s="922" t="s">
        <v>733</v>
      </c>
      <c r="D7" s="922"/>
      <c r="E7" s="922"/>
      <c r="F7" s="922"/>
      <c r="G7" s="922"/>
      <c r="H7" s="935" t="s">
        <v>571</v>
      </c>
      <c r="I7" s="919"/>
      <c r="J7" s="911"/>
      <c r="K7" s="933">
        <v>2016</v>
      </c>
      <c r="L7" s="932">
        <f t="shared" si="1"/>
        <v>5.0607287449392713</v>
      </c>
      <c r="M7" s="932"/>
      <c r="N7" s="932"/>
      <c r="O7" s="932"/>
      <c r="P7" s="932"/>
      <c r="Q7" s="911"/>
      <c r="R7" s="911"/>
      <c r="S7" s="911"/>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row>
    <row r="8" spans="1:52" ht="15.75" customHeight="1" thickBot="1" x14ac:dyDescent="0.25">
      <c r="A8" s="924"/>
      <c r="B8" s="925" t="s">
        <v>83</v>
      </c>
      <c r="C8" s="927">
        <v>12</v>
      </c>
      <c r="D8" s="927">
        <v>24</v>
      </c>
      <c r="E8" s="927">
        <v>36</v>
      </c>
      <c r="F8" s="927">
        <v>48</v>
      </c>
      <c r="G8" s="927">
        <v>60</v>
      </c>
      <c r="H8" s="936" t="s">
        <v>734</v>
      </c>
      <c r="I8" s="919"/>
      <c r="J8" s="911"/>
      <c r="K8" s="937" t="s">
        <v>287</v>
      </c>
      <c r="L8" s="932">
        <f>AVERAGE(L4:L7)</f>
        <v>5.0007932391714442</v>
      </c>
      <c r="M8" s="932">
        <f t="shared" ref="M8:O8" si="2">AVERAGE(M4:M7)</f>
        <v>1.4999637219338586</v>
      </c>
      <c r="N8" s="932">
        <f t="shared" si="2"/>
        <v>1.2002280732274908</v>
      </c>
      <c r="O8" s="932">
        <f t="shared" si="2"/>
        <v>1.0501260151218146</v>
      </c>
      <c r="P8" s="938">
        <f>B15</f>
        <v>1.0149999999999999</v>
      </c>
      <c r="Q8" s="911"/>
      <c r="R8" s="911"/>
      <c r="S8" s="911"/>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row>
    <row r="9" spans="1:52" ht="15.75" customHeight="1" x14ac:dyDescent="0.2">
      <c r="A9" s="924"/>
      <c r="B9" s="931">
        <v>2013</v>
      </c>
      <c r="C9" s="939">
        <v>420</v>
      </c>
      <c r="D9" s="940">
        <v>1983</v>
      </c>
      <c r="E9" s="940">
        <v>2975</v>
      </c>
      <c r="F9" s="940">
        <v>3571</v>
      </c>
      <c r="G9" s="941">
        <v>3750</v>
      </c>
      <c r="H9" s="934">
        <v>38000</v>
      </c>
      <c r="I9" s="919"/>
      <c r="J9" s="911"/>
      <c r="K9" s="911"/>
      <c r="L9" s="911" t="s">
        <v>735</v>
      </c>
      <c r="M9" s="911"/>
      <c r="N9" s="911"/>
      <c r="O9" s="911"/>
      <c r="P9" s="911"/>
      <c r="Q9" s="911"/>
      <c r="R9" s="911"/>
      <c r="S9" s="911"/>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row>
    <row r="10" spans="1:52" ht="15.75" customHeight="1" x14ac:dyDescent="0.2">
      <c r="A10" s="924"/>
      <c r="B10" s="933">
        <v>2014</v>
      </c>
      <c r="C10" s="942">
        <v>417</v>
      </c>
      <c r="D10" s="943">
        <v>2220</v>
      </c>
      <c r="E10" s="943">
        <v>3333</v>
      </c>
      <c r="F10" s="943">
        <v>4000</v>
      </c>
      <c r="G10" s="944"/>
      <c r="H10" s="935">
        <v>43000</v>
      </c>
      <c r="I10" s="919"/>
      <c r="J10" s="911"/>
      <c r="K10" s="911" t="s">
        <v>736</v>
      </c>
      <c r="L10" s="911"/>
      <c r="M10" s="911"/>
      <c r="N10" s="911">
        <f>L8*M8*N8*O8*P8</f>
        <v>9.5960144781417824</v>
      </c>
      <c r="O10" s="911"/>
      <c r="P10" s="911"/>
      <c r="Q10" s="911"/>
      <c r="R10" s="911"/>
      <c r="S10" s="911"/>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row>
    <row r="11" spans="1:52" ht="15.75" customHeight="1" x14ac:dyDescent="0.2">
      <c r="A11" s="924"/>
      <c r="B11" s="933">
        <v>2015</v>
      </c>
      <c r="C11" s="942">
        <v>477</v>
      </c>
      <c r="D11" s="943">
        <v>2336</v>
      </c>
      <c r="E11" s="943">
        <v>3500</v>
      </c>
      <c r="F11" s="945"/>
      <c r="G11" s="944"/>
      <c r="H11" s="935">
        <v>45000</v>
      </c>
      <c r="I11" s="919"/>
      <c r="J11" s="911"/>
      <c r="K11" s="946" t="s">
        <v>737</v>
      </c>
      <c r="L11" s="946"/>
      <c r="M11" s="946"/>
      <c r="N11" s="947">
        <f>N10*C13</f>
        <v>11995.018097677228</v>
      </c>
      <c r="O11" s="911"/>
      <c r="P11" s="911"/>
      <c r="Q11" s="911"/>
      <c r="R11" s="911"/>
      <c r="S11" s="911"/>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row>
    <row r="12" spans="1:52" ht="15.75" customHeight="1" x14ac:dyDescent="0.2">
      <c r="A12" s="924"/>
      <c r="B12" s="933">
        <v>2016</v>
      </c>
      <c r="C12" s="942">
        <v>494</v>
      </c>
      <c r="D12" s="943">
        <v>2500</v>
      </c>
      <c r="E12" s="945"/>
      <c r="F12" s="945"/>
      <c r="G12" s="944"/>
      <c r="H12" s="935">
        <v>48000</v>
      </c>
      <c r="I12" s="919"/>
      <c r="J12" s="911"/>
      <c r="K12" s="911"/>
      <c r="L12" s="911"/>
      <c r="M12" s="911"/>
      <c r="N12" s="911"/>
      <c r="O12" s="911"/>
      <c r="P12" s="911"/>
      <c r="Q12" s="911"/>
      <c r="R12" s="911"/>
      <c r="S12" s="911"/>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row>
    <row r="13" spans="1:52" ht="15.75" customHeight="1" thickBot="1" x14ac:dyDescent="0.25">
      <c r="A13" s="924"/>
      <c r="B13" s="937">
        <v>2017</v>
      </c>
      <c r="C13" s="948">
        <v>1250</v>
      </c>
      <c r="D13" s="949"/>
      <c r="E13" s="949"/>
      <c r="F13" s="949"/>
      <c r="G13" s="950"/>
      <c r="H13" s="936">
        <v>50000</v>
      </c>
      <c r="I13" s="919"/>
      <c r="J13" s="911" t="s">
        <v>21</v>
      </c>
      <c r="K13" s="911" t="s">
        <v>738</v>
      </c>
      <c r="L13" s="911"/>
      <c r="M13" s="911"/>
      <c r="N13" s="911">
        <f>1-1/N10</f>
        <v>0.89579006969217867</v>
      </c>
      <c r="O13" s="911"/>
      <c r="P13" s="911"/>
      <c r="Q13" s="911"/>
      <c r="R13" s="911"/>
      <c r="S13" s="911"/>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row>
    <row r="14" spans="1:52" ht="15.75" customHeight="1" thickBot="1" x14ac:dyDescent="0.25">
      <c r="A14" s="924"/>
      <c r="B14" s="951"/>
      <c r="C14" s="952"/>
      <c r="D14" s="952"/>
      <c r="E14" s="952"/>
      <c r="F14" s="953"/>
      <c r="G14" s="945"/>
      <c r="H14" s="918"/>
      <c r="I14" s="919"/>
      <c r="J14" s="911"/>
      <c r="K14" s="911" t="s">
        <v>739</v>
      </c>
      <c r="L14" s="911"/>
      <c r="M14" s="911"/>
      <c r="N14" s="954">
        <f>B16*H13</f>
        <v>5000</v>
      </c>
      <c r="O14" s="911"/>
      <c r="P14" s="911"/>
      <c r="Q14" s="911"/>
      <c r="R14" s="911"/>
      <c r="S14" s="911"/>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row>
    <row r="15" spans="1:52" ht="15.75" customHeight="1" x14ac:dyDescent="0.2">
      <c r="A15" s="924"/>
      <c r="B15" s="955">
        <v>1.0149999999999999</v>
      </c>
      <c r="C15" s="956" t="s">
        <v>740</v>
      </c>
      <c r="D15" s="956"/>
      <c r="E15" s="957"/>
      <c r="F15" s="917"/>
      <c r="G15" s="930"/>
      <c r="H15" s="918"/>
      <c r="I15" s="919"/>
      <c r="J15" s="911"/>
      <c r="K15" s="911" t="s">
        <v>741</v>
      </c>
      <c r="L15" s="911"/>
      <c r="M15" s="911"/>
      <c r="N15" s="958">
        <f>N13*N14</f>
        <v>4478.9503484608931</v>
      </c>
      <c r="O15" s="911"/>
      <c r="P15" s="911"/>
      <c r="Q15" s="911"/>
      <c r="R15" s="911"/>
      <c r="S15" s="911"/>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row>
    <row r="16" spans="1:52" ht="15.75" customHeight="1" thickBot="1" x14ac:dyDescent="0.25">
      <c r="A16" s="924"/>
      <c r="B16" s="959">
        <v>0.1</v>
      </c>
      <c r="C16" s="960" t="s">
        <v>742</v>
      </c>
      <c r="D16" s="960"/>
      <c r="E16" s="961"/>
      <c r="F16" s="917"/>
      <c r="G16" s="930"/>
      <c r="H16" s="918"/>
      <c r="I16" s="919"/>
      <c r="J16" s="911"/>
      <c r="K16" s="946" t="s">
        <v>737</v>
      </c>
      <c r="L16" s="946"/>
      <c r="M16" s="946"/>
      <c r="N16" s="947">
        <f>N15+C13</f>
        <v>5728.9503484608931</v>
      </c>
      <c r="O16" s="911"/>
      <c r="P16" s="911"/>
      <c r="Q16" s="911"/>
      <c r="R16" s="911"/>
      <c r="S16" s="911"/>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row>
    <row r="17" spans="1:52" ht="15.75" customHeight="1" x14ac:dyDescent="0.2">
      <c r="A17" s="924"/>
      <c r="B17" s="929"/>
      <c r="C17" s="917"/>
      <c r="D17" s="917"/>
      <c r="E17" s="917"/>
      <c r="F17" s="917"/>
      <c r="G17" s="930"/>
      <c r="H17" s="918"/>
      <c r="I17" s="919"/>
      <c r="J17" s="911"/>
      <c r="K17" s="911"/>
      <c r="L17" s="911"/>
      <c r="M17" s="911"/>
      <c r="N17" s="911"/>
      <c r="O17" s="911"/>
      <c r="P17" s="911"/>
      <c r="Q17" s="911"/>
      <c r="R17" s="911"/>
      <c r="S17" s="911"/>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row>
    <row r="18" spans="1:52" ht="15.75" customHeight="1" x14ac:dyDescent="0.2">
      <c r="A18" s="924">
        <v>0.75</v>
      </c>
      <c r="B18" s="917" t="s">
        <v>46</v>
      </c>
      <c r="C18" s="917"/>
      <c r="D18" s="917"/>
      <c r="E18" s="917"/>
      <c r="F18" s="917"/>
      <c r="G18" s="930"/>
      <c r="H18" s="918"/>
      <c r="I18" s="919"/>
      <c r="J18" s="911" t="s">
        <v>52</v>
      </c>
      <c r="K18" s="911" t="s">
        <v>743</v>
      </c>
      <c r="L18" s="911"/>
      <c r="M18" s="911"/>
      <c r="N18" s="911"/>
      <c r="O18" s="911"/>
      <c r="P18" s="911"/>
      <c r="Q18" s="911"/>
      <c r="R18" s="911"/>
      <c r="S18" s="911"/>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row>
    <row r="19" spans="1:52" ht="15.75" customHeight="1" x14ac:dyDescent="0.2">
      <c r="A19" s="924"/>
      <c r="B19" s="962" t="s">
        <v>744</v>
      </c>
      <c r="C19" s="917"/>
      <c r="D19" s="917"/>
      <c r="E19" s="917"/>
      <c r="F19" s="917"/>
      <c r="G19" s="930"/>
      <c r="H19" s="918"/>
      <c r="I19" s="919"/>
      <c r="J19" s="911"/>
      <c r="K19" s="911" t="s">
        <v>745</v>
      </c>
      <c r="L19" s="911"/>
      <c r="M19" s="911"/>
      <c r="N19" s="911"/>
      <c r="O19" s="911"/>
      <c r="P19" s="911"/>
      <c r="Q19" s="911"/>
      <c r="R19" s="911"/>
      <c r="S19" s="911"/>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row>
    <row r="20" spans="1:52" ht="15.75" customHeight="1" x14ac:dyDescent="0.2">
      <c r="A20" s="924"/>
      <c r="B20" s="962"/>
      <c r="C20" s="917"/>
      <c r="D20" s="917"/>
      <c r="E20" s="917"/>
      <c r="F20" s="917"/>
      <c r="G20" s="930"/>
      <c r="H20" s="918"/>
      <c r="I20" s="919"/>
      <c r="J20" s="911"/>
      <c r="K20" s="911" t="s">
        <v>746</v>
      </c>
      <c r="L20" s="911"/>
      <c r="M20" s="911"/>
      <c r="N20" s="911"/>
      <c r="O20" s="911"/>
      <c r="P20" s="911"/>
      <c r="Q20" s="911"/>
      <c r="R20" s="911"/>
      <c r="S20" s="911"/>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row>
    <row r="21" spans="1:52" ht="15.75" customHeight="1" x14ac:dyDescent="0.2">
      <c r="A21" s="924">
        <v>0.75</v>
      </c>
      <c r="B21" s="917" t="s">
        <v>21</v>
      </c>
      <c r="C21" s="917"/>
      <c r="D21" s="917"/>
      <c r="E21" s="917"/>
      <c r="F21" s="917"/>
      <c r="G21" s="917"/>
      <c r="H21" s="918"/>
      <c r="I21" s="919"/>
      <c r="J21" s="911"/>
      <c r="K21" s="911" t="s">
        <v>747</v>
      </c>
      <c r="L21" s="911"/>
      <c r="M21" s="911"/>
      <c r="N21" s="911"/>
      <c r="O21" s="911"/>
      <c r="P21" s="911"/>
      <c r="Q21" s="911"/>
      <c r="R21" s="911"/>
      <c r="S21" s="911"/>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row>
    <row r="22" spans="1:52" ht="15.75" customHeight="1" x14ac:dyDescent="0.2">
      <c r="A22" s="924"/>
      <c r="B22" s="917" t="s">
        <v>748</v>
      </c>
      <c r="C22" s="917"/>
      <c r="D22" s="917"/>
      <c r="E22" s="917"/>
      <c r="F22" s="917"/>
      <c r="G22" s="917"/>
      <c r="H22" s="918"/>
      <c r="I22" s="919"/>
      <c r="J22" s="911"/>
      <c r="K22" s="911"/>
      <c r="L22" s="911"/>
      <c r="M22" s="911"/>
      <c r="N22" s="911"/>
      <c r="O22" s="911"/>
      <c r="P22" s="911"/>
      <c r="Q22" s="911"/>
      <c r="R22" s="911"/>
      <c r="S22" s="911"/>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row>
    <row r="23" spans="1:52" ht="15.75" customHeight="1" x14ac:dyDescent="0.2">
      <c r="A23" s="924"/>
      <c r="B23" s="917"/>
      <c r="C23" s="917"/>
      <c r="D23" s="917"/>
      <c r="E23" s="917"/>
      <c r="F23" s="917"/>
      <c r="G23" s="917"/>
      <c r="H23" s="918"/>
      <c r="I23" s="919"/>
      <c r="J23" s="911"/>
      <c r="K23" s="911"/>
      <c r="L23" s="911"/>
      <c r="M23" s="911"/>
      <c r="N23" s="911"/>
      <c r="O23" s="911"/>
      <c r="P23" s="911"/>
      <c r="Q23" s="911"/>
      <c r="R23" s="911"/>
      <c r="S23" s="911"/>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row>
    <row r="24" spans="1:52" ht="15.75" customHeight="1" x14ac:dyDescent="0.2">
      <c r="A24" s="924">
        <v>0.5</v>
      </c>
      <c r="B24" s="917" t="s">
        <v>52</v>
      </c>
      <c r="C24" s="917"/>
      <c r="D24" s="963"/>
      <c r="E24" s="964"/>
      <c r="F24" s="964"/>
      <c r="G24" s="965"/>
      <c r="H24" s="918"/>
      <c r="I24" s="919"/>
      <c r="J24" s="911"/>
      <c r="K24" s="911"/>
      <c r="L24" s="911"/>
      <c r="M24" s="911"/>
      <c r="N24" s="911"/>
      <c r="O24" s="911"/>
      <c r="P24" s="911"/>
      <c r="Q24" s="911"/>
      <c r="R24" s="911"/>
      <c r="S24" s="911"/>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row>
    <row r="25" spans="1:52" ht="15.75" customHeight="1" x14ac:dyDescent="0.2">
      <c r="A25" s="924"/>
      <c r="B25" s="917" t="s">
        <v>749</v>
      </c>
      <c r="C25" s="917"/>
      <c r="D25" s="963"/>
      <c r="E25" s="964"/>
      <c r="F25" s="964"/>
      <c r="G25" s="965"/>
      <c r="H25" s="918"/>
      <c r="I25" s="919"/>
      <c r="J25" s="911"/>
      <c r="K25" s="911"/>
      <c r="L25" s="911"/>
      <c r="M25" s="911"/>
      <c r="N25" s="911"/>
      <c r="O25" s="911"/>
      <c r="P25" s="911"/>
      <c r="Q25" s="911"/>
      <c r="R25" s="911"/>
      <c r="S25" s="911"/>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row>
    <row r="26" spans="1:52" ht="15.75" customHeight="1" x14ac:dyDescent="0.2">
      <c r="A26" s="924"/>
      <c r="B26" s="917" t="s">
        <v>750</v>
      </c>
      <c r="C26" s="917"/>
      <c r="D26" s="963"/>
      <c r="E26" s="964"/>
      <c r="F26" s="964"/>
      <c r="G26" s="965"/>
      <c r="H26" s="918"/>
      <c r="I26" s="919"/>
      <c r="J26" s="911"/>
      <c r="K26" s="911"/>
      <c r="L26" s="911"/>
      <c r="M26" s="911"/>
      <c r="N26" s="911"/>
      <c r="O26" s="911"/>
      <c r="P26" s="911"/>
      <c r="Q26" s="911"/>
      <c r="R26" s="911"/>
      <c r="S26" s="911"/>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row>
    <row r="27" spans="1:52" ht="15.75" customHeight="1" thickBot="1" x14ac:dyDescent="0.25">
      <c r="A27" s="966"/>
      <c r="B27" s="967"/>
      <c r="C27" s="967"/>
      <c r="D27" s="967"/>
      <c r="E27" s="967"/>
      <c r="F27" s="967"/>
      <c r="G27" s="967"/>
      <c r="H27" s="967"/>
      <c r="I27" s="968"/>
      <c r="J27" s="911"/>
      <c r="K27" s="911"/>
      <c r="L27" s="911"/>
      <c r="M27" s="911"/>
      <c r="N27" s="911"/>
      <c r="O27" s="911"/>
      <c r="P27" s="911"/>
      <c r="Q27" s="911"/>
      <c r="R27" s="911"/>
      <c r="S27" s="911"/>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row>
    <row r="28" spans="1:52" ht="15.75" customHeight="1" x14ac:dyDescent="0.2">
      <c r="A28" s="969"/>
      <c r="B28" s="911"/>
      <c r="C28" s="911"/>
      <c r="D28" s="911"/>
      <c r="E28" s="911"/>
      <c r="F28" s="911"/>
      <c r="G28" s="911"/>
      <c r="H28" s="911"/>
      <c r="I28" s="911"/>
      <c r="J28" s="911"/>
      <c r="K28" s="911"/>
      <c r="L28" s="911"/>
      <c r="M28" s="911"/>
      <c r="N28" s="911"/>
      <c r="O28" s="911"/>
      <c r="P28" s="911"/>
      <c r="Q28" s="911"/>
      <c r="R28" s="911"/>
      <c r="S28" s="911"/>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row>
    <row r="29" spans="1:52" ht="15.75" customHeight="1" x14ac:dyDescent="0.2">
      <c r="A29" s="969"/>
      <c r="B29" s="911"/>
      <c r="C29" s="911"/>
      <c r="D29" s="911"/>
      <c r="E29" s="911"/>
      <c r="F29" s="911"/>
      <c r="G29" s="911"/>
      <c r="H29" s="911"/>
      <c r="I29" s="911"/>
      <c r="J29" s="911"/>
      <c r="K29" s="911"/>
      <c r="L29" s="911"/>
      <c r="M29" s="911"/>
      <c r="N29" s="911"/>
      <c r="O29" s="911"/>
      <c r="P29" s="911"/>
      <c r="Q29" s="911"/>
      <c r="R29" s="911"/>
      <c r="S29" s="911"/>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row>
    <row r="30" spans="1:52" ht="15.75" customHeight="1" x14ac:dyDescent="0.2">
      <c r="A30" s="969"/>
      <c r="B30" s="911"/>
      <c r="C30" s="911"/>
      <c r="D30" s="911"/>
      <c r="E30" s="911"/>
      <c r="F30" s="911"/>
      <c r="G30" s="911"/>
      <c r="H30" s="911"/>
      <c r="I30" s="911"/>
      <c r="J30" s="911"/>
      <c r="K30" s="911"/>
      <c r="L30" s="911"/>
      <c r="M30" s="911"/>
      <c r="N30" s="911"/>
      <c r="O30" s="911"/>
      <c r="P30" s="911"/>
      <c r="Q30" s="911"/>
      <c r="R30" s="911"/>
      <c r="S30" s="911"/>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row>
    <row r="31" spans="1:52" ht="15.75" customHeight="1" x14ac:dyDescent="0.2">
      <c r="A31" s="969"/>
      <c r="B31" s="911"/>
      <c r="C31" s="911"/>
      <c r="D31" s="911"/>
      <c r="E31" s="911"/>
      <c r="F31" s="911"/>
      <c r="G31" s="911"/>
      <c r="H31" s="911"/>
      <c r="I31" s="911"/>
      <c r="J31" s="911"/>
      <c r="K31" s="911"/>
      <c r="L31" s="911"/>
      <c r="M31" s="911"/>
      <c r="N31" s="911"/>
      <c r="O31" s="911"/>
      <c r="P31" s="911"/>
      <c r="Q31" s="911"/>
      <c r="R31" s="911"/>
      <c r="S31" s="911"/>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row>
    <row r="32" spans="1:52" ht="15.75" customHeight="1" x14ac:dyDescent="0.2">
      <c r="A32" s="969"/>
      <c r="B32" s="911"/>
      <c r="C32" s="911"/>
      <c r="D32" s="911"/>
      <c r="E32" s="911"/>
      <c r="F32" s="911"/>
      <c r="G32" s="911"/>
      <c r="H32" s="911"/>
      <c r="I32" s="911"/>
      <c r="J32" s="911"/>
      <c r="K32" s="911"/>
      <c r="L32" s="911"/>
      <c r="M32" s="911"/>
      <c r="N32" s="911"/>
      <c r="O32" s="911"/>
      <c r="P32" s="911"/>
      <c r="Q32" s="911"/>
      <c r="R32" s="911"/>
      <c r="S32" s="911"/>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row>
    <row r="33" spans="1:52" ht="15.75" customHeight="1" x14ac:dyDescent="0.2">
      <c r="A33" s="969"/>
      <c r="B33" s="911"/>
      <c r="C33" s="911"/>
      <c r="D33" s="911"/>
      <c r="E33" s="911"/>
      <c r="F33" s="911"/>
      <c r="G33" s="911"/>
      <c r="H33" s="911"/>
      <c r="I33" s="911"/>
      <c r="J33" s="911"/>
      <c r="K33" s="911"/>
      <c r="L33" s="911"/>
      <c r="M33" s="911"/>
      <c r="N33" s="911"/>
      <c r="O33" s="911"/>
      <c r="P33" s="911"/>
      <c r="Q33" s="911"/>
      <c r="R33" s="911"/>
      <c r="S33" s="911"/>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row>
    <row r="34" spans="1:52" ht="15.75" customHeight="1" x14ac:dyDescent="0.2">
      <c r="A34" s="969"/>
      <c r="B34" s="911"/>
      <c r="C34" s="911"/>
      <c r="D34" s="911"/>
      <c r="E34" s="911"/>
      <c r="F34" s="911"/>
      <c r="G34" s="911"/>
      <c r="H34" s="911"/>
      <c r="I34" s="911"/>
      <c r="J34" s="911"/>
      <c r="K34" s="911"/>
      <c r="L34" s="911"/>
      <c r="M34" s="911"/>
      <c r="N34" s="911"/>
      <c r="O34" s="911"/>
      <c r="P34" s="911"/>
      <c r="Q34" s="911"/>
      <c r="R34" s="911"/>
      <c r="S34" s="911"/>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row>
    <row r="35" spans="1:52" ht="15.75" customHeight="1" x14ac:dyDescent="0.2">
      <c r="A35" s="969"/>
      <c r="B35" s="911"/>
      <c r="C35" s="911"/>
      <c r="D35" s="911"/>
      <c r="E35" s="911"/>
      <c r="F35" s="911"/>
      <c r="G35" s="911"/>
      <c r="H35" s="911"/>
      <c r="I35" s="911"/>
      <c r="J35" s="911"/>
      <c r="K35" s="911"/>
      <c r="L35" s="911"/>
      <c r="M35" s="911"/>
      <c r="N35" s="911"/>
      <c r="O35" s="911"/>
      <c r="P35" s="911"/>
      <c r="Q35" s="911"/>
      <c r="R35" s="911"/>
      <c r="S35" s="911"/>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row>
    <row r="36" spans="1:52" ht="15.75" customHeight="1" x14ac:dyDescent="0.2">
      <c r="A36" s="969"/>
      <c r="B36" s="911"/>
      <c r="C36" s="911"/>
      <c r="D36" s="911"/>
      <c r="E36" s="911"/>
      <c r="F36" s="911"/>
      <c r="G36" s="911"/>
      <c r="H36" s="911"/>
      <c r="I36" s="911"/>
      <c r="J36" s="911"/>
      <c r="K36" s="911"/>
      <c r="L36" s="911"/>
      <c r="M36" s="911"/>
      <c r="N36" s="911"/>
      <c r="O36" s="911"/>
      <c r="P36" s="911"/>
      <c r="Q36" s="911"/>
      <c r="R36" s="911"/>
      <c r="S36" s="911"/>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row>
    <row r="37" spans="1:52" ht="15.75" customHeight="1" x14ac:dyDescent="0.2">
      <c r="A37" s="969"/>
      <c r="B37" s="911"/>
      <c r="C37" s="911"/>
      <c r="D37" s="911"/>
      <c r="E37" s="911"/>
      <c r="F37" s="911"/>
      <c r="G37" s="911"/>
      <c r="H37" s="911"/>
      <c r="I37" s="911"/>
      <c r="J37" s="911"/>
      <c r="K37" s="911"/>
      <c r="L37" s="911"/>
      <c r="M37" s="911"/>
      <c r="N37" s="911"/>
      <c r="O37" s="911"/>
      <c r="P37" s="911"/>
      <c r="Q37" s="911"/>
      <c r="R37" s="911"/>
      <c r="S37" s="911"/>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row>
    <row r="38" spans="1:52" ht="15.75" customHeight="1" x14ac:dyDescent="0.2">
      <c r="A38" s="969"/>
      <c r="B38" s="911"/>
      <c r="C38" s="911"/>
      <c r="D38" s="911"/>
      <c r="E38" s="911"/>
      <c r="F38" s="911"/>
      <c r="G38" s="911"/>
      <c r="H38" s="911"/>
      <c r="I38" s="911"/>
      <c r="J38" s="911"/>
      <c r="K38" s="911"/>
      <c r="L38" s="911"/>
      <c r="M38" s="911"/>
      <c r="N38" s="911"/>
      <c r="O38" s="911"/>
      <c r="P38" s="911"/>
      <c r="Q38" s="911"/>
      <c r="R38" s="911"/>
      <c r="S38" s="911"/>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row>
    <row r="39" spans="1:52" ht="15.75" customHeight="1" x14ac:dyDescent="0.2">
      <c r="A39" s="969"/>
      <c r="B39" s="911"/>
      <c r="C39" s="911"/>
      <c r="D39" s="911"/>
      <c r="E39" s="911"/>
      <c r="F39" s="911"/>
      <c r="G39" s="911"/>
      <c r="H39" s="911"/>
      <c r="I39" s="911"/>
      <c r="J39" s="911"/>
      <c r="K39" s="911"/>
      <c r="L39" s="911"/>
      <c r="M39" s="911"/>
      <c r="N39" s="911"/>
      <c r="O39" s="911"/>
      <c r="P39" s="911"/>
      <c r="Q39" s="911"/>
      <c r="R39" s="911"/>
      <c r="S39" s="911"/>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row>
    <row r="40" spans="1:52" ht="15.75" customHeight="1" x14ac:dyDescent="0.2">
      <c r="A40" s="969"/>
      <c r="B40" s="911"/>
      <c r="C40" s="911"/>
      <c r="D40" s="911"/>
      <c r="E40" s="911"/>
      <c r="F40" s="911"/>
      <c r="G40" s="911"/>
      <c r="H40" s="911"/>
      <c r="I40" s="911"/>
      <c r="J40" s="911"/>
      <c r="K40" s="911"/>
      <c r="L40" s="911"/>
      <c r="M40" s="911"/>
      <c r="N40" s="911"/>
      <c r="O40" s="911"/>
      <c r="P40" s="911"/>
      <c r="Q40" s="911"/>
      <c r="R40" s="911"/>
      <c r="S40" s="911"/>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row>
    <row r="41" spans="1:52" ht="15.75" customHeight="1" x14ac:dyDescent="0.2">
      <c r="A41" s="969"/>
      <c r="B41" s="911"/>
      <c r="C41" s="911"/>
      <c r="D41" s="911"/>
      <c r="E41" s="911"/>
      <c r="F41" s="911"/>
      <c r="G41" s="911"/>
      <c r="H41" s="911"/>
      <c r="I41" s="911"/>
      <c r="J41" s="911"/>
      <c r="K41" s="911"/>
      <c r="L41" s="911"/>
      <c r="M41" s="911"/>
      <c r="N41" s="911"/>
      <c r="O41" s="911"/>
      <c r="P41" s="911"/>
      <c r="Q41" s="911"/>
      <c r="R41" s="911"/>
      <c r="S41" s="911"/>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row>
    <row r="42" spans="1:52" ht="15.75" customHeight="1" x14ac:dyDescent="0.2">
      <c r="A42" s="969"/>
      <c r="B42" s="911"/>
      <c r="C42" s="911"/>
      <c r="D42" s="911"/>
      <c r="E42" s="911"/>
      <c r="F42" s="911"/>
      <c r="G42" s="911"/>
      <c r="H42" s="911"/>
      <c r="I42" s="911"/>
      <c r="J42" s="911"/>
      <c r="K42" s="911"/>
      <c r="L42" s="911"/>
      <c r="M42" s="911"/>
      <c r="N42" s="911"/>
      <c r="O42" s="911"/>
      <c r="P42" s="911"/>
      <c r="Q42" s="911"/>
      <c r="R42" s="911"/>
      <c r="S42" s="911"/>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row>
    <row r="43" spans="1:52" ht="15.75" customHeight="1" x14ac:dyDescent="0.2">
      <c r="A43" s="969"/>
      <c r="B43" s="911"/>
      <c r="C43" s="911"/>
      <c r="D43" s="911"/>
      <c r="E43" s="911"/>
      <c r="F43" s="911"/>
      <c r="G43" s="911"/>
      <c r="H43" s="911"/>
      <c r="I43" s="911"/>
      <c r="J43" s="911"/>
      <c r="K43" s="911"/>
      <c r="L43" s="911"/>
      <c r="M43" s="911"/>
      <c r="N43" s="911"/>
      <c r="O43" s="911"/>
      <c r="P43" s="911"/>
      <c r="Q43" s="911"/>
      <c r="R43" s="911"/>
      <c r="S43" s="911"/>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row>
    <row r="44" spans="1:52" ht="15.75" customHeight="1" x14ac:dyDescent="0.2">
      <c r="A44" s="969"/>
      <c r="B44" s="911"/>
      <c r="C44" s="911"/>
      <c r="D44" s="911"/>
      <c r="E44" s="911"/>
      <c r="F44" s="911"/>
      <c r="G44" s="911"/>
      <c r="H44" s="911"/>
      <c r="I44" s="911"/>
      <c r="J44" s="911"/>
      <c r="K44" s="911"/>
      <c r="L44" s="911"/>
      <c r="M44" s="911"/>
      <c r="N44" s="911"/>
      <c r="O44" s="911"/>
      <c r="P44" s="911"/>
      <c r="Q44" s="911"/>
      <c r="R44" s="911"/>
      <c r="S44" s="911"/>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row>
    <row r="45" spans="1:52" ht="15.75" customHeight="1" x14ac:dyDescent="0.2">
      <c r="A45" s="969"/>
      <c r="B45" s="911"/>
      <c r="C45" s="911"/>
      <c r="D45" s="911"/>
      <c r="E45" s="911"/>
      <c r="F45" s="911"/>
      <c r="G45" s="911"/>
      <c r="H45" s="911"/>
      <c r="I45" s="911"/>
      <c r="J45" s="911"/>
      <c r="K45" s="911"/>
      <c r="L45" s="911"/>
      <c r="M45" s="911"/>
      <c r="N45" s="911"/>
      <c r="O45" s="911"/>
      <c r="P45" s="911"/>
      <c r="Q45" s="911"/>
      <c r="R45" s="911"/>
      <c r="S45" s="911"/>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row>
    <row r="46" spans="1:52" ht="15.75" customHeight="1" x14ac:dyDescent="0.2">
      <c r="A46" s="969"/>
      <c r="B46" s="911"/>
      <c r="C46" s="911"/>
      <c r="D46" s="911"/>
      <c r="E46" s="911"/>
      <c r="F46" s="911"/>
      <c r="G46" s="911"/>
      <c r="H46" s="911"/>
      <c r="I46" s="911"/>
      <c r="J46" s="911"/>
      <c r="K46" s="911"/>
      <c r="L46" s="911"/>
      <c r="M46" s="911"/>
      <c r="N46" s="911"/>
      <c r="O46" s="911"/>
      <c r="P46" s="911"/>
      <c r="Q46" s="911"/>
      <c r="R46" s="911"/>
      <c r="S46" s="911"/>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row>
    <row r="47" spans="1:52" ht="15.75" customHeight="1" x14ac:dyDescent="0.2">
      <c r="A47" s="969"/>
      <c r="B47" s="911"/>
      <c r="C47" s="911"/>
      <c r="D47" s="911"/>
      <c r="E47" s="911"/>
      <c r="F47" s="911"/>
      <c r="G47" s="911"/>
      <c r="H47" s="911"/>
      <c r="I47" s="911"/>
      <c r="J47" s="911"/>
      <c r="K47" s="911"/>
      <c r="L47" s="911"/>
      <c r="M47" s="911"/>
      <c r="N47" s="911"/>
      <c r="O47" s="911"/>
      <c r="P47" s="911"/>
      <c r="Q47" s="911"/>
      <c r="R47" s="911"/>
      <c r="S47" s="911"/>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row>
    <row r="48" spans="1:52" ht="15.75" customHeight="1" x14ac:dyDescent="0.2">
      <c r="A48" s="969"/>
      <c r="B48" s="911"/>
      <c r="C48" s="911"/>
      <c r="D48" s="911"/>
      <c r="E48" s="911"/>
      <c r="F48" s="911"/>
      <c r="G48" s="911"/>
      <c r="H48" s="911"/>
      <c r="I48" s="911"/>
      <c r="J48" s="911"/>
      <c r="K48" s="911"/>
      <c r="L48" s="911"/>
      <c r="M48" s="911"/>
      <c r="N48" s="911"/>
      <c r="O48" s="911"/>
      <c r="P48" s="911"/>
      <c r="Q48" s="911"/>
      <c r="R48" s="911"/>
      <c r="S48" s="911"/>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row>
    <row r="49" spans="1:52" ht="15.75" customHeight="1" x14ac:dyDescent="0.2">
      <c r="A49" s="969"/>
      <c r="B49" s="911"/>
      <c r="C49" s="911"/>
      <c r="D49" s="911"/>
      <c r="E49" s="911"/>
      <c r="F49" s="911"/>
      <c r="G49" s="911"/>
      <c r="H49" s="911"/>
      <c r="I49" s="911"/>
      <c r="J49" s="911"/>
      <c r="K49" s="911"/>
      <c r="L49" s="911"/>
      <c r="M49" s="911"/>
      <c r="N49" s="911"/>
      <c r="O49" s="911"/>
      <c r="P49" s="911"/>
      <c r="Q49" s="911"/>
      <c r="R49" s="911"/>
      <c r="S49" s="911"/>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row>
    <row r="50" spans="1:52" ht="15.75" customHeight="1" x14ac:dyDescent="0.2">
      <c r="A50" s="969"/>
      <c r="B50" s="911"/>
      <c r="C50" s="911"/>
      <c r="D50" s="911"/>
      <c r="E50" s="911"/>
      <c r="F50" s="911"/>
      <c r="G50" s="911"/>
      <c r="H50" s="911"/>
      <c r="I50" s="911"/>
      <c r="J50" s="911"/>
      <c r="K50" s="911"/>
      <c r="L50" s="911"/>
      <c r="M50" s="911"/>
      <c r="N50" s="911"/>
      <c r="O50" s="911"/>
      <c r="P50" s="911"/>
      <c r="Q50" s="911"/>
      <c r="R50" s="911"/>
      <c r="S50" s="911"/>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row>
    <row r="51" spans="1:52" ht="15.75" customHeight="1" x14ac:dyDescent="0.2">
      <c r="A51" s="969"/>
      <c r="B51" s="911"/>
      <c r="C51" s="911"/>
      <c r="D51" s="911"/>
      <c r="E51" s="911"/>
      <c r="F51" s="911"/>
      <c r="G51" s="911"/>
      <c r="H51" s="911"/>
      <c r="I51" s="911"/>
      <c r="J51" s="911"/>
      <c r="K51" s="911"/>
      <c r="L51" s="911"/>
      <c r="M51" s="911"/>
      <c r="N51" s="911"/>
      <c r="O51" s="911"/>
      <c r="P51" s="911"/>
      <c r="Q51" s="911"/>
      <c r="R51" s="911"/>
      <c r="S51" s="911"/>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row>
    <row r="52" spans="1:52" ht="15.75" customHeight="1" x14ac:dyDescent="0.2">
      <c r="A52" s="969"/>
      <c r="B52" s="911"/>
      <c r="C52" s="911"/>
      <c r="D52" s="911"/>
      <c r="E52" s="911"/>
      <c r="F52" s="911"/>
      <c r="G52" s="911"/>
      <c r="H52" s="911"/>
      <c r="I52" s="911"/>
      <c r="J52" s="911"/>
      <c r="K52" s="911"/>
      <c r="L52" s="911"/>
      <c r="M52" s="911"/>
      <c r="N52" s="911"/>
      <c r="O52" s="911"/>
      <c r="P52" s="911"/>
      <c r="Q52" s="911"/>
      <c r="R52" s="911"/>
      <c r="S52" s="911"/>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row>
    <row r="53" spans="1:52" ht="15.75" customHeight="1" x14ac:dyDescent="0.2">
      <c r="A53" s="969"/>
      <c r="B53" s="911"/>
      <c r="C53" s="911"/>
      <c r="D53" s="911"/>
      <c r="E53" s="911"/>
      <c r="F53" s="911"/>
      <c r="G53" s="911"/>
      <c r="H53" s="911"/>
      <c r="I53" s="911"/>
      <c r="J53" s="911"/>
      <c r="K53" s="911"/>
      <c r="L53" s="911"/>
      <c r="M53" s="911"/>
      <c r="N53" s="911"/>
      <c r="O53" s="911"/>
      <c r="P53" s="911"/>
      <c r="Q53" s="911"/>
      <c r="R53" s="911"/>
      <c r="S53" s="911"/>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row>
    <row r="54" spans="1:52" ht="15.75" customHeight="1" x14ac:dyDescent="0.2">
      <c r="A54" s="969"/>
      <c r="B54" s="911"/>
      <c r="C54" s="911"/>
      <c r="D54" s="911"/>
      <c r="E54" s="911"/>
      <c r="F54" s="911"/>
      <c r="G54" s="911"/>
      <c r="H54" s="911"/>
      <c r="I54" s="911"/>
      <c r="J54" s="911"/>
      <c r="K54" s="911"/>
      <c r="L54" s="911"/>
      <c r="M54" s="911"/>
      <c r="N54" s="911"/>
      <c r="O54" s="911"/>
      <c r="P54" s="911"/>
      <c r="Q54" s="911"/>
      <c r="R54" s="911"/>
      <c r="S54" s="911"/>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row>
    <row r="55" spans="1:52" ht="15.75" customHeight="1" x14ac:dyDescent="0.2">
      <c r="A55" s="969"/>
      <c r="B55" s="911"/>
      <c r="C55" s="911"/>
      <c r="D55" s="911"/>
      <c r="E55" s="911"/>
      <c r="F55" s="911"/>
      <c r="G55" s="911"/>
      <c r="H55" s="911"/>
      <c r="I55" s="911"/>
      <c r="J55" s="911"/>
      <c r="K55" s="911"/>
      <c r="L55" s="911"/>
      <c r="M55" s="911"/>
      <c r="N55" s="911"/>
      <c r="O55" s="911"/>
      <c r="P55" s="911"/>
      <c r="Q55" s="911"/>
      <c r="R55" s="911"/>
      <c r="S55" s="911"/>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row>
    <row r="56" spans="1:52" ht="15.75" customHeight="1" x14ac:dyDescent="0.2">
      <c r="A56" s="969"/>
      <c r="B56" s="911"/>
      <c r="C56" s="911"/>
      <c r="D56" s="911"/>
      <c r="E56" s="911"/>
      <c r="F56" s="911"/>
      <c r="G56" s="911"/>
      <c r="H56" s="911"/>
      <c r="I56" s="911"/>
      <c r="J56" s="911"/>
      <c r="K56" s="911"/>
      <c r="L56" s="911"/>
      <c r="M56" s="911"/>
      <c r="N56" s="911"/>
      <c r="O56" s="911"/>
      <c r="P56" s="911"/>
      <c r="Q56" s="911"/>
      <c r="R56" s="911"/>
      <c r="S56" s="911"/>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row>
    <row r="57" spans="1:52" ht="15.75" customHeight="1" x14ac:dyDescent="0.2">
      <c r="A57" s="969"/>
      <c r="B57" s="911"/>
      <c r="C57" s="911"/>
      <c r="D57" s="911"/>
      <c r="E57" s="911"/>
      <c r="F57" s="911"/>
      <c r="G57" s="911"/>
      <c r="H57" s="911"/>
      <c r="I57" s="911"/>
      <c r="J57" s="911"/>
      <c r="K57" s="911"/>
      <c r="L57" s="911"/>
      <c r="M57" s="911"/>
      <c r="N57" s="911"/>
      <c r="O57" s="911"/>
      <c r="P57" s="911"/>
      <c r="Q57" s="911"/>
      <c r="R57" s="911"/>
      <c r="S57" s="911"/>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row>
    <row r="58" spans="1:52" ht="15.75" customHeight="1" x14ac:dyDescent="0.2">
      <c r="A58" s="969"/>
      <c r="B58" s="911"/>
      <c r="C58" s="911"/>
      <c r="D58" s="911"/>
      <c r="E58" s="911"/>
      <c r="F58" s="911"/>
      <c r="G58" s="911"/>
      <c r="H58" s="911"/>
      <c r="I58" s="911"/>
      <c r="J58" s="911"/>
      <c r="K58" s="911"/>
      <c r="L58" s="911"/>
      <c r="M58" s="911"/>
      <c r="N58" s="911"/>
      <c r="O58" s="911"/>
      <c r="P58" s="911"/>
      <c r="Q58" s="911"/>
      <c r="R58" s="911"/>
      <c r="S58" s="911"/>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row>
    <row r="59" spans="1:52" ht="15.75" customHeight="1" x14ac:dyDescent="0.2">
      <c r="A59" s="969"/>
      <c r="B59" s="911"/>
      <c r="C59" s="911"/>
      <c r="D59" s="911"/>
      <c r="E59" s="911"/>
      <c r="F59" s="911"/>
      <c r="G59" s="911"/>
      <c r="H59" s="911"/>
      <c r="I59" s="911"/>
      <c r="J59" s="911"/>
      <c r="K59" s="911"/>
      <c r="L59" s="911"/>
      <c r="M59" s="911"/>
      <c r="N59" s="911"/>
      <c r="O59" s="911"/>
      <c r="P59" s="911"/>
      <c r="Q59" s="911"/>
      <c r="R59" s="911"/>
      <c r="S59" s="911"/>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row>
    <row r="60" spans="1:52" ht="15.75" customHeight="1" x14ac:dyDescent="0.2">
      <c r="A60" s="969"/>
      <c r="B60" s="911"/>
      <c r="C60" s="911"/>
      <c r="D60" s="911"/>
      <c r="E60" s="911"/>
      <c r="F60" s="911"/>
      <c r="G60" s="911"/>
      <c r="H60" s="911"/>
      <c r="I60" s="911"/>
      <c r="J60" s="911"/>
      <c r="K60" s="911"/>
      <c r="L60" s="911"/>
      <c r="M60" s="911"/>
      <c r="N60" s="911"/>
      <c r="O60" s="911"/>
      <c r="P60" s="911"/>
      <c r="Q60" s="911"/>
      <c r="R60" s="911"/>
      <c r="S60" s="911"/>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row>
    <row r="61" spans="1:52" ht="15.75" customHeight="1" x14ac:dyDescent="0.2">
      <c r="A61" s="969"/>
      <c r="B61" s="911"/>
      <c r="C61" s="911"/>
      <c r="D61" s="911"/>
      <c r="E61" s="911"/>
      <c r="F61" s="911"/>
      <c r="G61" s="911"/>
      <c r="H61" s="911"/>
      <c r="I61" s="911"/>
      <c r="J61" s="911"/>
      <c r="K61" s="911"/>
      <c r="L61" s="911"/>
      <c r="M61" s="911"/>
      <c r="N61" s="911"/>
      <c r="O61" s="911"/>
      <c r="P61" s="911"/>
      <c r="Q61" s="911"/>
      <c r="R61" s="911"/>
      <c r="S61" s="911"/>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row>
    <row r="62" spans="1:52" ht="15.75" customHeight="1" x14ac:dyDescent="0.2">
      <c r="A62" s="969"/>
      <c r="B62" s="911"/>
      <c r="C62" s="911"/>
      <c r="D62" s="911"/>
      <c r="E62" s="911"/>
      <c r="F62" s="911"/>
      <c r="G62" s="911"/>
      <c r="H62" s="911"/>
      <c r="I62" s="911"/>
      <c r="J62" s="911"/>
      <c r="K62" s="911"/>
      <c r="L62" s="911"/>
      <c r="M62" s="911"/>
      <c r="N62" s="911"/>
      <c r="O62" s="911"/>
      <c r="P62" s="911"/>
      <c r="Q62" s="911"/>
      <c r="R62" s="911"/>
      <c r="S62" s="911"/>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row>
    <row r="63" spans="1:52" ht="15.75" customHeight="1" x14ac:dyDescent="0.2">
      <c r="A63" s="969"/>
      <c r="B63" s="911"/>
      <c r="C63" s="911"/>
      <c r="D63" s="911"/>
      <c r="E63" s="911"/>
      <c r="F63" s="911"/>
      <c r="G63" s="911"/>
      <c r="H63" s="911"/>
      <c r="I63" s="911"/>
      <c r="J63" s="911"/>
      <c r="K63" s="911"/>
      <c r="L63" s="911"/>
      <c r="M63" s="911"/>
      <c r="N63" s="911"/>
      <c r="O63" s="911"/>
      <c r="P63" s="911"/>
      <c r="Q63" s="911"/>
      <c r="R63" s="911"/>
      <c r="S63" s="911"/>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row>
    <row r="64" spans="1:52" ht="15.75" customHeight="1" x14ac:dyDescent="0.2">
      <c r="A64" s="969"/>
      <c r="B64" s="911"/>
      <c r="C64" s="911"/>
      <c r="D64" s="911"/>
      <c r="E64" s="911"/>
      <c r="F64" s="911"/>
      <c r="G64" s="911"/>
      <c r="H64" s="911"/>
      <c r="I64" s="911"/>
      <c r="J64" s="911"/>
      <c r="K64" s="911"/>
      <c r="L64" s="911"/>
      <c r="M64" s="911"/>
      <c r="N64" s="911"/>
      <c r="O64" s="911"/>
      <c r="P64" s="911"/>
      <c r="Q64" s="911"/>
      <c r="R64" s="911"/>
      <c r="S64" s="911"/>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row>
    <row r="65" spans="1:52" ht="15.75" customHeight="1" x14ac:dyDescent="0.2">
      <c r="A65" s="969"/>
      <c r="B65" s="911"/>
      <c r="C65" s="911"/>
      <c r="D65" s="911"/>
      <c r="E65" s="911"/>
      <c r="F65" s="911"/>
      <c r="G65" s="911"/>
      <c r="H65" s="911"/>
      <c r="I65" s="911"/>
      <c r="J65" s="911"/>
      <c r="K65" s="911"/>
      <c r="L65" s="911"/>
      <c r="M65" s="911"/>
      <c r="N65" s="911"/>
      <c r="O65" s="911"/>
      <c r="P65" s="911"/>
      <c r="Q65" s="911"/>
      <c r="R65" s="911"/>
      <c r="S65" s="911"/>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row>
    <row r="66" spans="1:52" ht="15.75" customHeight="1" x14ac:dyDescent="0.2">
      <c r="A66" s="969"/>
      <c r="B66" s="911"/>
      <c r="C66" s="911"/>
      <c r="D66" s="911"/>
      <c r="E66" s="911"/>
      <c r="F66" s="911"/>
      <c r="G66" s="911"/>
      <c r="H66" s="911"/>
      <c r="I66" s="911"/>
      <c r="J66" s="911"/>
      <c r="K66" s="911"/>
      <c r="L66" s="911"/>
      <c r="M66" s="911"/>
      <c r="N66" s="911"/>
      <c r="O66" s="911"/>
      <c r="P66" s="911"/>
      <c r="Q66" s="911"/>
      <c r="R66" s="911"/>
      <c r="S66" s="911"/>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row>
    <row r="67" spans="1:52" ht="15.75" customHeight="1" x14ac:dyDescent="0.2">
      <c r="A67" s="969"/>
      <c r="B67" s="911"/>
      <c r="C67" s="911"/>
      <c r="D67" s="911"/>
      <c r="E67" s="911"/>
      <c r="F67" s="911"/>
      <c r="G67" s="911"/>
      <c r="H67" s="911"/>
      <c r="I67" s="911"/>
      <c r="J67" s="911"/>
      <c r="K67" s="911"/>
      <c r="L67" s="911"/>
      <c r="M67" s="911"/>
      <c r="N67" s="911"/>
      <c r="O67" s="911"/>
      <c r="P67" s="911"/>
      <c r="Q67" s="911"/>
      <c r="R67" s="911"/>
      <c r="S67" s="911"/>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row>
    <row r="68" spans="1:52" ht="15.75" customHeight="1" x14ac:dyDescent="0.2">
      <c r="A68" s="969"/>
      <c r="B68" s="911"/>
      <c r="C68" s="911"/>
      <c r="D68" s="911"/>
      <c r="E68" s="911"/>
      <c r="F68" s="911"/>
      <c r="G68" s="911"/>
      <c r="H68" s="911"/>
      <c r="I68" s="911"/>
      <c r="J68" s="911"/>
      <c r="K68" s="911"/>
      <c r="L68" s="911"/>
      <c r="M68" s="911"/>
      <c r="N68" s="911"/>
      <c r="O68" s="911"/>
      <c r="P68" s="911"/>
      <c r="Q68" s="911"/>
      <c r="R68" s="911"/>
      <c r="S68" s="911"/>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row>
    <row r="69" spans="1:52" ht="15.75" customHeight="1" x14ac:dyDescent="0.2">
      <c r="A69" s="969"/>
      <c r="B69" s="911"/>
      <c r="C69" s="911"/>
      <c r="D69" s="911"/>
      <c r="E69" s="911"/>
      <c r="F69" s="911"/>
      <c r="G69" s="911"/>
      <c r="H69" s="911"/>
      <c r="I69" s="911"/>
      <c r="J69" s="911"/>
      <c r="K69" s="911"/>
      <c r="L69" s="911"/>
      <c r="M69" s="911"/>
      <c r="N69" s="911"/>
      <c r="O69" s="911"/>
      <c r="P69" s="911"/>
      <c r="Q69" s="911"/>
      <c r="R69" s="911"/>
      <c r="S69" s="911"/>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row>
    <row r="70" spans="1:52" ht="15.75" customHeight="1" x14ac:dyDescent="0.2">
      <c r="A70" s="969"/>
      <c r="B70" s="911"/>
      <c r="C70" s="911"/>
      <c r="D70" s="911"/>
      <c r="E70" s="911"/>
      <c r="F70" s="911"/>
      <c r="G70" s="911"/>
      <c r="H70" s="911"/>
      <c r="I70" s="911"/>
      <c r="J70" s="911"/>
      <c r="K70" s="911"/>
      <c r="L70" s="911"/>
      <c r="M70" s="911"/>
      <c r="N70" s="911"/>
      <c r="O70" s="911"/>
      <c r="P70" s="911"/>
      <c r="Q70" s="911"/>
      <c r="R70" s="911"/>
      <c r="S70" s="911"/>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row>
    <row r="71" spans="1:52" ht="15.75" customHeight="1" x14ac:dyDescent="0.2">
      <c r="A71" s="969"/>
      <c r="B71" s="911"/>
      <c r="C71" s="911"/>
      <c r="D71" s="911"/>
      <c r="E71" s="911"/>
      <c r="F71" s="911"/>
      <c r="G71" s="911"/>
      <c r="H71" s="911"/>
      <c r="I71" s="911"/>
      <c r="J71" s="911"/>
      <c r="K71" s="911"/>
      <c r="L71" s="911"/>
      <c r="M71" s="911"/>
      <c r="N71" s="911"/>
      <c r="O71" s="911"/>
      <c r="P71" s="911"/>
      <c r="Q71" s="911"/>
      <c r="R71" s="911"/>
      <c r="S71" s="911"/>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row>
    <row r="72" spans="1:52" ht="15.75" customHeight="1" x14ac:dyDescent="0.2">
      <c r="A72" s="969"/>
      <c r="B72" s="911"/>
      <c r="C72" s="911"/>
      <c r="D72" s="911"/>
      <c r="E72" s="911"/>
      <c r="F72" s="911"/>
      <c r="G72" s="911"/>
      <c r="H72" s="911"/>
      <c r="I72" s="911"/>
      <c r="J72" s="911"/>
      <c r="K72" s="911"/>
      <c r="L72" s="911"/>
      <c r="M72" s="911"/>
      <c r="N72" s="911"/>
      <c r="O72" s="911"/>
      <c r="P72" s="911"/>
      <c r="Q72" s="911"/>
      <c r="R72" s="911"/>
      <c r="S72" s="911"/>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row>
    <row r="73" spans="1:52" ht="15.75" customHeight="1" x14ac:dyDescent="0.2">
      <c r="A73" s="969"/>
      <c r="B73" s="911"/>
      <c r="C73" s="911"/>
      <c r="D73" s="911"/>
      <c r="E73" s="911"/>
      <c r="F73" s="911"/>
      <c r="G73" s="911"/>
      <c r="H73" s="911"/>
      <c r="I73" s="911"/>
      <c r="J73" s="911"/>
      <c r="K73" s="911"/>
      <c r="L73" s="911"/>
      <c r="M73" s="911"/>
      <c r="N73" s="911"/>
      <c r="O73" s="911"/>
      <c r="P73" s="911"/>
      <c r="Q73" s="911"/>
      <c r="R73" s="911"/>
      <c r="S73" s="911"/>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row>
    <row r="74" spans="1:52" ht="15.75" customHeight="1" x14ac:dyDescent="0.2">
      <c r="A74" s="969"/>
      <c r="B74" s="911"/>
      <c r="C74" s="911"/>
      <c r="D74" s="911"/>
      <c r="E74" s="911"/>
      <c r="F74" s="911"/>
      <c r="G74" s="911"/>
      <c r="H74" s="911"/>
      <c r="I74" s="911"/>
      <c r="J74" s="911"/>
      <c r="K74" s="911"/>
      <c r="L74" s="911"/>
      <c r="M74" s="911"/>
      <c r="N74" s="911"/>
      <c r="O74" s="911"/>
      <c r="P74" s="911"/>
      <c r="Q74" s="911"/>
      <c r="R74" s="911"/>
      <c r="S74" s="911"/>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row>
    <row r="75" spans="1:52" ht="15.75" customHeight="1" x14ac:dyDescent="0.2">
      <c r="A75" s="969"/>
      <c r="B75" s="911"/>
      <c r="C75" s="911"/>
      <c r="D75" s="911"/>
      <c r="E75" s="911"/>
      <c r="F75" s="911"/>
      <c r="G75" s="911"/>
      <c r="H75" s="911"/>
      <c r="I75" s="911"/>
      <c r="J75" s="911"/>
      <c r="K75" s="911"/>
      <c r="L75" s="911"/>
      <c r="M75" s="911"/>
      <c r="N75" s="911"/>
      <c r="O75" s="911"/>
      <c r="P75" s="911"/>
      <c r="Q75" s="911"/>
      <c r="R75" s="911"/>
      <c r="S75" s="911"/>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row>
    <row r="76" spans="1:52" ht="15.75" customHeight="1" x14ac:dyDescent="0.2">
      <c r="A76" s="969"/>
      <c r="B76" s="911"/>
      <c r="C76" s="911"/>
      <c r="D76" s="911"/>
      <c r="E76" s="911"/>
      <c r="F76" s="911"/>
      <c r="G76" s="911"/>
      <c r="H76" s="911"/>
      <c r="I76" s="911"/>
      <c r="J76" s="911"/>
      <c r="K76" s="911"/>
      <c r="L76" s="911"/>
      <c r="M76" s="911"/>
      <c r="N76" s="911"/>
      <c r="O76" s="911"/>
      <c r="P76" s="911"/>
      <c r="Q76" s="911"/>
      <c r="R76" s="911"/>
      <c r="S76" s="911"/>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row>
    <row r="77" spans="1:52" ht="15.75" customHeight="1" x14ac:dyDescent="0.2">
      <c r="A77" s="969"/>
      <c r="B77" s="911"/>
      <c r="C77" s="911"/>
      <c r="D77" s="911"/>
      <c r="E77" s="911"/>
      <c r="F77" s="911"/>
      <c r="G77" s="911"/>
      <c r="H77" s="911"/>
      <c r="I77" s="911"/>
      <c r="J77" s="911"/>
      <c r="K77" s="911"/>
      <c r="L77" s="911"/>
      <c r="M77" s="911"/>
      <c r="N77" s="911"/>
      <c r="O77" s="911"/>
      <c r="P77" s="911"/>
      <c r="Q77" s="911"/>
      <c r="R77" s="911"/>
      <c r="S77" s="911"/>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row>
    <row r="78" spans="1:52" ht="15.75" customHeight="1" x14ac:dyDescent="0.2">
      <c r="A78" s="969"/>
      <c r="B78" s="911"/>
      <c r="C78" s="911"/>
      <c r="D78" s="911"/>
      <c r="E78" s="911"/>
      <c r="F78" s="911"/>
      <c r="G78" s="911"/>
      <c r="H78" s="911"/>
      <c r="I78" s="911"/>
      <c r="J78" s="911"/>
      <c r="K78" s="911"/>
      <c r="L78" s="911"/>
      <c r="M78" s="911"/>
      <c r="N78" s="911"/>
      <c r="O78" s="911"/>
      <c r="P78" s="911"/>
      <c r="Q78" s="911"/>
      <c r="R78" s="911"/>
      <c r="S78" s="911"/>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row>
    <row r="79" spans="1:52" ht="15.75" customHeight="1" x14ac:dyDescent="0.2">
      <c r="A79" s="969"/>
      <c r="B79" s="911"/>
      <c r="C79" s="911"/>
      <c r="D79" s="911"/>
      <c r="E79" s="911"/>
      <c r="F79" s="911"/>
      <c r="G79" s="911"/>
      <c r="H79" s="911"/>
      <c r="I79" s="911"/>
      <c r="J79" s="911"/>
      <c r="K79" s="911"/>
      <c r="L79" s="911"/>
      <c r="M79" s="911"/>
      <c r="N79" s="911"/>
      <c r="O79" s="911"/>
      <c r="P79" s="911"/>
      <c r="Q79" s="911"/>
      <c r="R79" s="911"/>
      <c r="S79" s="911"/>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row>
    <row r="80" spans="1:52" ht="15.75" customHeight="1" x14ac:dyDescent="0.2">
      <c r="A80" s="969"/>
      <c r="B80" s="911"/>
      <c r="C80" s="911"/>
      <c r="D80" s="911"/>
      <c r="E80" s="911"/>
      <c r="F80" s="911"/>
      <c r="G80" s="911"/>
      <c r="H80" s="911"/>
      <c r="I80" s="911"/>
      <c r="J80" s="911"/>
      <c r="K80" s="911"/>
      <c r="L80" s="911"/>
      <c r="M80" s="911"/>
      <c r="N80" s="911"/>
      <c r="O80" s="911"/>
      <c r="P80" s="911"/>
      <c r="Q80" s="911"/>
      <c r="R80" s="911"/>
      <c r="S80" s="911"/>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row>
    <row r="81" spans="1:52" ht="15.75" customHeight="1" x14ac:dyDescent="0.2">
      <c r="A81" s="969"/>
      <c r="B81" s="911"/>
      <c r="C81" s="911"/>
      <c r="D81" s="911"/>
      <c r="E81" s="911"/>
      <c r="F81" s="911"/>
      <c r="G81" s="911"/>
      <c r="H81" s="911"/>
      <c r="I81" s="911"/>
      <c r="J81" s="911"/>
      <c r="K81" s="911"/>
      <c r="L81" s="911"/>
      <c r="M81" s="911"/>
      <c r="N81" s="911"/>
      <c r="O81" s="911"/>
      <c r="P81" s="911"/>
      <c r="Q81" s="911"/>
      <c r="R81" s="911"/>
      <c r="S81" s="911"/>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row>
    <row r="82" spans="1:52" ht="15.75" customHeight="1" x14ac:dyDescent="0.2">
      <c r="A82" s="969"/>
      <c r="B82" s="911"/>
      <c r="C82" s="911"/>
      <c r="D82" s="911"/>
      <c r="E82" s="911"/>
      <c r="F82" s="911"/>
      <c r="G82" s="911"/>
      <c r="H82" s="911"/>
      <c r="I82" s="911"/>
      <c r="J82" s="911"/>
      <c r="K82" s="911"/>
      <c r="L82" s="911"/>
      <c r="M82" s="911"/>
      <c r="N82" s="911"/>
      <c r="O82" s="911"/>
      <c r="P82" s="911"/>
      <c r="Q82" s="911"/>
      <c r="R82" s="911"/>
      <c r="S82" s="911"/>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row>
    <row r="83" spans="1:52" ht="15.75" customHeight="1" x14ac:dyDescent="0.2">
      <c r="A83" s="969"/>
      <c r="B83" s="911"/>
      <c r="C83" s="911"/>
      <c r="D83" s="911"/>
      <c r="E83" s="911"/>
      <c r="F83" s="911"/>
      <c r="G83" s="911"/>
      <c r="H83" s="911"/>
      <c r="I83" s="911"/>
      <c r="J83" s="911"/>
      <c r="K83" s="911"/>
      <c r="L83" s="911"/>
      <c r="M83" s="911"/>
      <c r="N83" s="911"/>
      <c r="O83" s="911"/>
      <c r="P83" s="911"/>
      <c r="Q83" s="911"/>
      <c r="R83" s="911"/>
      <c r="S83" s="911"/>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row>
    <row r="84" spans="1:52" ht="15.75" customHeight="1" x14ac:dyDescent="0.2">
      <c r="A84" s="969"/>
      <c r="B84" s="911"/>
      <c r="C84" s="911"/>
      <c r="D84" s="911"/>
      <c r="E84" s="911"/>
      <c r="F84" s="911"/>
      <c r="G84" s="911"/>
      <c r="H84" s="911"/>
      <c r="I84" s="911"/>
      <c r="J84" s="911"/>
      <c r="K84" s="911"/>
      <c r="L84" s="911"/>
      <c r="M84" s="911"/>
      <c r="N84" s="911"/>
      <c r="O84" s="911"/>
      <c r="P84" s="911"/>
      <c r="Q84" s="911"/>
      <c r="R84" s="911"/>
      <c r="S84" s="911"/>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row>
    <row r="85" spans="1:52" ht="15.75" customHeight="1" x14ac:dyDescent="0.2">
      <c r="A85" s="969"/>
      <c r="B85" s="911"/>
      <c r="C85" s="911"/>
      <c r="D85" s="911"/>
      <c r="E85" s="911"/>
      <c r="F85" s="911"/>
      <c r="G85" s="911"/>
      <c r="H85" s="911"/>
      <c r="I85" s="911"/>
      <c r="J85" s="911"/>
      <c r="K85" s="911"/>
      <c r="L85" s="911"/>
      <c r="M85" s="911"/>
      <c r="N85" s="911"/>
      <c r="O85" s="911"/>
      <c r="P85" s="911"/>
      <c r="Q85" s="911"/>
      <c r="R85" s="911"/>
      <c r="S85" s="911"/>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row>
    <row r="86" spans="1:52" ht="15.75" customHeight="1" x14ac:dyDescent="0.2">
      <c r="A86" s="969"/>
      <c r="B86" s="911"/>
      <c r="C86" s="911"/>
      <c r="D86" s="911"/>
      <c r="E86" s="911"/>
      <c r="F86" s="911"/>
      <c r="G86" s="911"/>
      <c r="H86" s="911"/>
      <c r="I86" s="911"/>
      <c r="J86" s="911"/>
      <c r="K86" s="911"/>
      <c r="L86" s="911"/>
      <c r="M86" s="911"/>
      <c r="N86" s="911"/>
      <c r="O86" s="911"/>
      <c r="P86" s="911"/>
      <c r="Q86" s="911"/>
      <c r="R86" s="911"/>
      <c r="S86" s="911"/>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row>
    <row r="87" spans="1:52" ht="15.75" customHeight="1" x14ac:dyDescent="0.2">
      <c r="A87" s="969"/>
      <c r="B87" s="911"/>
      <c r="C87" s="911"/>
      <c r="D87" s="911"/>
      <c r="E87" s="911"/>
      <c r="F87" s="911"/>
      <c r="G87" s="911"/>
      <c r="H87" s="911"/>
      <c r="I87" s="911"/>
      <c r="J87" s="911"/>
      <c r="K87" s="911"/>
      <c r="L87" s="911"/>
      <c r="M87" s="911"/>
      <c r="N87" s="911"/>
      <c r="O87" s="911"/>
      <c r="P87" s="911"/>
      <c r="Q87" s="911"/>
      <c r="R87" s="911"/>
      <c r="S87" s="911"/>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row>
    <row r="88" spans="1:52" ht="15.75" customHeight="1" x14ac:dyDescent="0.2">
      <c r="A88" s="969"/>
      <c r="B88" s="911"/>
      <c r="C88" s="911"/>
      <c r="D88" s="911"/>
      <c r="E88" s="911"/>
      <c r="F88" s="911"/>
      <c r="G88" s="911"/>
      <c r="H88" s="911"/>
      <c r="I88" s="911"/>
      <c r="J88" s="911"/>
      <c r="K88" s="911"/>
      <c r="L88" s="911"/>
      <c r="M88" s="911"/>
      <c r="N88" s="911"/>
      <c r="O88" s="911"/>
      <c r="P88" s="911"/>
      <c r="Q88" s="911"/>
      <c r="R88" s="911"/>
      <c r="S88" s="911"/>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row>
    <row r="89" spans="1:52" ht="15.75" customHeight="1" x14ac:dyDescent="0.2">
      <c r="A89" s="969"/>
      <c r="B89" s="911"/>
      <c r="C89" s="911"/>
      <c r="D89" s="911"/>
      <c r="E89" s="911"/>
      <c r="F89" s="911"/>
      <c r="G89" s="911"/>
      <c r="H89" s="911"/>
      <c r="I89" s="911"/>
      <c r="J89" s="911"/>
      <c r="K89" s="911"/>
      <c r="L89" s="911"/>
      <c r="M89" s="911"/>
      <c r="N89" s="911"/>
      <c r="O89" s="911"/>
      <c r="P89" s="911"/>
      <c r="Q89" s="911"/>
      <c r="R89" s="911"/>
      <c r="S89" s="911"/>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row>
    <row r="90" spans="1:52" ht="15.75" customHeight="1" x14ac:dyDescent="0.2">
      <c r="A90" s="969"/>
      <c r="B90" s="911"/>
      <c r="C90" s="911"/>
      <c r="D90" s="911"/>
      <c r="E90" s="911"/>
      <c r="F90" s="911"/>
      <c r="G90" s="911"/>
      <c r="H90" s="911"/>
      <c r="I90" s="911"/>
      <c r="J90" s="911"/>
      <c r="K90" s="911"/>
      <c r="L90" s="911"/>
      <c r="M90" s="911"/>
      <c r="N90" s="911"/>
      <c r="O90" s="911"/>
      <c r="P90" s="911"/>
      <c r="Q90" s="911"/>
      <c r="R90" s="911"/>
      <c r="S90" s="911"/>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row>
    <row r="91" spans="1:52" ht="15.75" customHeight="1" x14ac:dyDescent="0.2">
      <c r="A91" s="969"/>
      <c r="B91" s="911"/>
      <c r="C91" s="911"/>
      <c r="D91" s="911"/>
      <c r="E91" s="911"/>
      <c r="F91" s="911"/>
      <c r="G91" s="911"/>
      <c r="H91" s="911"/>
      <c r="I91" s="911"/>
      <c r="J91" s="911"/>
      <c r="K91" s="911"/>
      <c r="L91" s="911"/>
      <c r="M91" s="911"/>
      <c r="N91" s="911"/>
      <c r="O91" s="911"/>
      <c r="P91" s="911"/>
      <c r="Q91" s="911"/>
      <c r="R91" s="911"/>
      <c r="S91" s="911"/>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row>
    <row r="92" spans="1:52" ht="15.75" customHeight="1" x14ac:dyDescent="0.2">
      <c r="A92" s="969"/>
      <c r="B92" s="911"/>
      <c r="C92" s="911"/>
      <c r="D92" s="911"/>
      <c r="E92" s="911"/>
      <c r="F92" s="911"/>
      <c r="G92" s="911"/>
      <c r="H92" s="911"/>
      <c r="I92" s="911"/>
      <c r="J92" s="911"/>
      <c r="K92" s="911"/>
      <c r="L92" s="911"/>
      <c r="M92" s="911"/>
      <c r="N92" s="911"/>
      <c r="O92" s="911"/>
      <c r="P92" s="911"/>
      <c r="Q92" s="911"/>
      <c r="R92" s="911"/>
      <c r="S92" s="911"/>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row>
    <row r="93" spans="1:52" ht="15.75" customHeight="1" x14ac:dyDescent="0.2">
      <c r="A93" s="969"/>
      <c r="B93" s="911"/>
      <c r="C93" s="911"/>
      <c r="D93" s="911"/>
      <c r="E93" s="911"/>
      <c r="F93" s="911"/>
      <c r="G93" s="911"/>
      <c r="H93" s="911"/>
      <c r="I93" s="911"/>
      <c r="J93" s="911"/>
      <c r="K93" s="911"/>
      <c r="L93" s="911"/>
      <c r="M93" s="911"/>
      <c r="N93" s="911"/>
      <c r="O93" s="911"/>
      <c r="P93" s="911"/>
      <c r="Q93" s="911"/>
      <c r="R93" s="911"/>
      <c r="S93" s="911"/>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row>
    <row r="94" spans="1:52" ht="15.75" customHeight="1" x14ac:dyDescent="0.2">
      <c r="A94" s="969"/>
      <c r="B94" s="911"/>
      <c r="C94" s="911"/>
      <c r="D94" s="911"/>
      <c r="E94" s="911"/>
      <c r="F94" s="911"/>
      <c r="G94" s="911"/>
      <c r="H94" s="911"/>
      <c r="I94" s="911"/>
      <c r="J94" s="911"/>
      <c r="K94" s="911"/>
      <c r="L94" s="911"/>
      <c r="M94" s="911"/>
      <c r="N94" s="911"/>
      <c r="O94" s="911"/>
      <c r="P94" s="911"/>
      <c r="Q94" s="911"/>
      <c r="R94" s="911"/>
      <c r="S94" s="911"/>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row>
    <row r="95" spans="1:52" ht="15.75" customHeight="1" x14ac:dyDescent="0.2">
      <c r="A95" s="969"/>
      <c r="B95" s="911"/>
      <c r="C95" s="911"/>
      <c r="D95" s="911"/>
      <c r="E95" s="911"/>
      <c r="F95" s="911"/>
      <c r="G95" s="911"/>
      <c r="H95" s="911"/>
      <c r="I95" s="911"/>
      <c r="J95" s="911"/>
      <c r="K95" s="911"/>
      <c r="L95" s="911"/>
      <c r="M95" s="911"/>
      <c r="N95" s="911"/>
      <c r="O95" s="911"/>
      <c r="P95" s="911"/>
      <c r="Q95" s="911"/>
      <c r="R95" s="911"/>
      <c r="S95" s="911"/>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row>
    <row r="96" spans="1:52" ht="15.75" customHeight="1" x14ac:dyDescent="0.2">
      <c r="A96" s="969"/>
      <c r="B96" s="911"/>
      <c r="C96" s="911"/>
      <c r="D96" s="911"/>
      <c r="E96" s="911"/>
      <c r="F96" s="911"/>
      <c r="G96" s="911"/>
      <c r="H96" s="911"/>
      <c r="I96" s="911"/>
      <c r="J96" s="911"/>
      <c r="K96" s="911"/>
      <c r="L96" s="911"/>
      <c r="M96" s="911"/>
      <c r="N96" s="911"/>
      <c r="O96" s="911"/>
      <c r="P96" s="911"/>
      <c r="Q96" s="911"/>
      <c r="R96" s="911"/>
      <c r="S96" s="911"/>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row>
    <row r="97" spans="1:52" ht="15.75" customHeight="1" x14ac:dyDescent="0.2">
      <c r="A97" s="969"/>
      <c r="B97" s="911"/>
      <c r="C97" s="911"/>
      <c r="D97" s="911"/>
      <c r="E97" s="911"/>
      <c r="F97" s="911"/>
      <c r="G97" s="911"/>
      <c r="H97" s="911"/>
      <c r="I97" s="911"/>
      <c r="J97" s="911"/>
      <c r="K97" s="911"/>
      <c r="L97" s="911"/>
      <c r="M97" s="911"/>
      <c r="N97" s="911"/>
      <c r="O97" s="911"/>
      <c r="P97" s="911"/>
      <c r="Q97" s="911"/>
      <c r="R97" s="911"/>
      <c r="S97" s="911"/>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row>
    <row r="98" spans="1:52" ht="15.75" customHeight="1" x14ac:dyDescent="0.2">
      <c r="A98" s="969"/>
      <c r="B98" s="911"/>
      <c r="C98" s="911"/>
      <c r="D98" s="911"/>
      <c r="E98" s="911"/>
      <c r="F98" s="911"/>
      <c r="G98" s="911"/>
      <c r="H98" s="911"/>
      <c r="I98" s="911"/>
      <c r="J98" s="911"/>
      <c r="K98" s="911"/>
      <c r="L98" s="911"/>
      <c r="M98" s="911"/>
      <c r="N98" s="911"/>
      <c r="O98" s="911"/>
      <c r="P98" s="911"/>
      <c r="Q98" s="911"/>
      <c r="R98" s="911"/>
      <c r="S98" s="911"/>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row>
    <row r="99" spans="1:52" ht="15.75" customHeight="1" x14ac:dyDescent="0.2">
      <c r="A99" s="969"/>
      <c r="B99" s="911"/>
      <c r="C99" s="911"/>
      <c r="D99" s="911"/>
      <c r="E99" s="911"/>
      <c r="F99" s="911"/>
      <c r="G99" s="911"/>
      <c r="H99" s="911"/>
      <c r="I99" s="911"/>
      <c r="J99" s="911"/>
      <c r="K99" s="911"/>
      <c r="L99" s="911"/>
      <c r="M99" s="911"/>
      <c r="N99" s="911"/>
      <c r="O99" s="911"/>
      <c r="P99" s="911"/>
      <c r="Q99" s="911"/>
      <c r="R99" s="911"/>
      <c r="S99" s="911"/>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row>
    <row r="100" spans="1:52" ht="15.75" customHeight="1" x14ac:dyDescent="0.2">
      <c r="A100" s="969"/>
      <c r="B100" s="911"/>
      <c r="C100" s="911"/>
      <c r="D100" s="911"/>
      <c r="E100" s="911"/>
      <c r="F100" s="911"/>
      <c r="G100" s="911"/>
      <c r="H100" s="911"/>
      <c r="I100" s="911"/>
      <c r="J100" s="911"/>
      <c r="K100" s="911"/>
      <c r="L100" s="911"/>
      <c r="M100" s="911"/>
      <c r="N100" s="911"/>
      <c r="O100" s="911"/>
      <c r="P100" s="911"/>
      <c r="Q100" s="911"/>
      <c r="R100" s="911"/>
      <c r="S100" s="911"/>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row>
    <row r="101" spans="1:52" ht="15.75" customHeight="1" x14ac:dyDescent="0.2">
      <c r="A101" s="969"/>
      <c r="B101" s="911"/>
      <c r="C101" s="911"/>
      <c r="D101" s="911"/>
      <c r="E101" s="911"/>
      <c r="F101" s="911"/>
      <c r="G101" s="911"/>
      <c r="H101" s="911"/>
      <c r="I101" s="911"/>
      <c r="J101" s="911"/>
      <c r="K101" s="911"/>
      <c r="L101" s="911"/>
      <c r="M101" s="911"/>
      <c r="N101" s="911"/>
      <c r="O101" s="911"/>
      <c r="P101" s="911"/>
      <c r="Q101" s="911"/>
      <c r="R101" s="911"/>
      <c r="S101" s="911"/>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row>
    <row r="102" spans="1:52" ht="15.75" customHeight="1" x14ac:dyDescent="0.2">
      <c r="A102" s="969"/>
      <c r="B102" s="911"/>
      <c r="C102" s="911"/>
      <c r="D102" s="911"/>
      <c r="E102" s="911"/>
      <c r="F102" s="911"/>
      <c r="G102" s="911"/>
      <c r="H102" s="911"/>
      <c r="I102" s="911"/>
      <c r="J102" s="911"/>
      <c r="K102" s="911"/>
      <c r="L102" s="911"/>
      <c r="M102" s="911"/>
      <c r="N102" s="911"/>
      <c r="O102" s="911"/>
      <c r="P102" s="911"/>
      <c r="Q102" s="911"/>
      <c r="R102" s="911"/>
      <c r="S102" s="911"/>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row>
    <row r="103" spans="1:52" ht="15.75" customHeight="1" x14ac:dyDescent="0.2">
      <c r="A103" s="969"/>
      <c r="B103" s="911"/>
      <c r="C103" s="911"/>
      <c r="D103" s="911"/>
      <c r="E103" s="911"/>
      <c r="F103" s="911"/>
      <c r="G103" s="911"/>
      <c r="H103" s="911"/>
      <c r="I103" s="911"/>
      <c r="J103" s="911"/>
      <c r="K103" s="911"/>
      <c r="L103" s="911"/>
      <c r="M103" s="911"/>
      <c r="N103" s="911"/>
      <c r="O103" s="911"/>
      <c r="P103" s="911"/>
      <c r="Q103" s="911"/>
      <c r="R103" s="911"/>
      <c r="S103" s="911"/>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row>
    <row r="104" spans="1:52" ht="15.75" customHeight="1" x14ac:dyDescent="0.2">
      <c r="A104" s="969"/>
      <c r="B104" s="911"/>
      <c r="C104" s="911"/>
      <c r="D104" s="911"/>
      <c r="E104" s="911"/>
      <c r="F104" s="911"/>
      <c r="G104" s="911"/>
      <c r="H104" s="911"/>
      <c r="I104" s="911"/>
      <c r="J104" s="911"/>
      <c r="K104" s="911"/>
      <c r="L104" s="911"/>
      <c r="M104" s="911"/>
      <c r="N104" s="911"/>
      <c r="O104" s="911"/>
      <c r="P104" s="911"/>
      <c r="Q104" s="911"/>
      <c r="R104" s="911"/>
      <c r="S104" s="911"/>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row>
    <row r="105" spans="1:52" ht="15.75" customHeight="1" x14ac:dyDescent="0.2">
      <c r="A105" s="969"/>
      <c r="B105" s="911"/>
      <c r="C105" s="911"/>
      <c r="D105" s="911"/>
      <c r="E105" s="911"/>
      <c r="F105" s="911"/>
      <c r="G105" s="911"/>
      <c r="H105" s="911"/>
      <c r="I105" s="911"/>
      <c r="J105" s="911"/>
      <c r="K105" s="911"/>
      <c r="L105" s="911"/>
      <c r="M105" s="911"/>
      <c r="N105" s="911"/>
      <c r="O105" s="911"/>
      <c r="P105" s="911"/>
      <c r="Q105" s="911"/>
      <c r="R105" s="911"/>
      <c r="S105" s="911"/>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row>
    <row r="106" spans="1:52" ht="15.75" customHeight="1" x14ac:dyDescent="0.2">
      <c r="A106" s="969"/>
      <c r="B106" s="911"/>
      <c r="C106" s="911"/>
      <c r="D106" s="911"/>
      <c r="E106" s="911"/>
      <c r="F106" s="911"/>
      <c r="G106" s="911"/>
      <c r="H106" s="911"/>
      <c r="I106" s="911"/>
      <c r="J106" s="911"/>
      <c r="K106" s="911"/>
      <c r="L106" s="911"/>
      <c r="M106" s="911"/>
      <c r="N106" s="911"/>
      <c r="O106" s="911"/>
      <c r="P106" s="911"/>
      <c r="Q106" s="911"/>
      <c r="R106" s="911"/>
      <c r="S106" s="911"/>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row>
    <row r="107" spans="1:52" ht="15.75" customHeight="1" x14ac:dyDescent="0.2">
      <c r="A107" s="969"/>
      <c r="B107" s="911"/>
      <c r="C107" s="911"/>
      <c r="D107" s="911"/>
      <c r="E107" s="911"/>
      <c r="F107" s="911"/>
      <c r="G107" s="911"/>
      <c r="H107" s="911"/>
      <c r="I107" s="911"/>
      <c r="J107" s="911"/>
      <c r="K107" s="911"/>
      <c r="L107" s="911"/>
      <c r="M107" s="911"/>
      <c r="N107" s="911"/>
      <c r="O107" s="911"/>
      <c r="P107" s="911"/>
      <c r="Q107" s="911"/>
      <c r="R107" s="911"/>
      <c r="S107" s="911"/>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row>
    <row r="108" spans="1:52" ht="15.75" customHeight="1" x14ac:dyDescent="0.2">
      <c r="A108" s="969"/>
      <c r="B108" s="911"/>
      <c r="C108" s="911"/>
      <c r="D108" s="911"/>
      <c r="E108" s="911"/>
      <c r="F108" s="911"/>
      <c r="G108" s="911"/>
      <c r="H108" s="911"/>
      <c r="I108" s="911"/>
      <c r="J108" s="911"/>
      <c r="K108" s="911"/>
      <c r="L108" s="911"/>
      <c r="M108" s="911"/>
      <c r="N108" s="911"/>
      <c r="O108" s="911"/>
      <c r="P108" s="911"/>
      <c r="Q108" s="911"/>
      <c r="R108" s="911"/>
      <c r="S108" s="911"/>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row>
    <row r="109" spans="1:52" ht="15.75" customHeight="1" x14ac:dyDescent="0.2">
      <c r="A109" s="969"/>
      <c r="B109" s="911"/>
      <c r="C109" s="911"/>
      <c r="D109" s="911"/>
      <c r="E109" s="911"/>
      <c r="F109" s="911"/>
      <c r="G109" s="911"/>
      <c r="H109" s="911"/>
      <c r="I109" s="911"/>
      <c r="J109" s="911"/>
      <c r="K109" s="911"/>
      <c r="L109" s="911"/>
      <c r="M109" s="911"/>
      <c r="N109" s="911"/>
      <c r="O109" s="911"/>
      <c r="P109" s="911"/>
      <c r="Q109" s="911"/>
      <c r="R109" s="911"/>
      <c r="S109" s="911"/>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row>
    <row r="110" spans="1:52" ht="15.75" customHeight="1" x14ac:dyDescent="0.2">
      <c r="A110" s="969"/>
      <c r="B110" s="911"/>
      <c r="C110" s="911"/>
      <c r="D110" s="911"/>
      <c r="E110" s="911"/>
      <c r="F110" s="911"/>
      <c r="G110" s="911"/>
      <c r="H110" s="911"/>
      <c r="I110" s="911"/>
      <c r="J110" s="911"/>
      <c r="K110" s="911"/>
      <c r="L110" s="911"/>
      <c r="M110" s="911"/>
      <c r="N110" s="911"/>
      <c r="O110" s="911"/>
      <c r="P110" s="911"/>
      <c r="Q110" s="911"/>
      <c r="R110" s="911"/>
      <c r="S110" s="911"/>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row>
    <row r="111" spans="1:52" ht="15.75" customHeight="1" x14ac:dyDescent="0.2">
      <c r="A111" s="969"/>
      <c r="B111" s="911"/>
      <c r="C111" s="911"/>
      <c r="D111" s="911"/>
      <c r="E111" s="911"/>
      <c r="F111" s="911"/>
      <c r="G111" s="911"/>
      <c r="H111" s="911"/>
      <c r="I111" s="911"/>
      <c r="J111" s="911"/>
      <c r="K111" s="911"/>
      <c r="L111" s="911"/>
      <c r="M111" s="911"/>
      <c r="N111" s="911"/>
      <c r="O111" s="911"/>
      <c r="P111" s="911"/>
      <c r="Q111" s="911"/>
      <c r="R111" s="911"/>
      <c r="S111" s="911"/>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row>
    <row r="112" spans="1:52" ht="15.75" customHeight="1" x14ac:dyDescent="0.2">
      <c r="A112" s="969"/>
      <c r="B112" s="911"/>
      <c r="C112" s="911"/>
      <c r="D112" s="911"/>
      <c r="E112" s="911"/>
      <c r="F112" s="911"/>
      <c r="G112" s="911"/>
      <c r="H112" s="911"/>
      <c r="I112" s="911"/>
      <c r="J112" s="911"/>
      <c r="K112" s="911"/>
      <c r="L112" s="911"/>
      <c r="M112" s="911"/>
      <c r="N112" s="911"/>
      <c r="O112" s="911"/>
      <c r="P112" s="911"/>
      <c r="Q112" s="911"/>
      <c r="R112" s="911"/>
      <c r="S112" s="911"/>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row>
    <row r="113" spans="1:52" ht="15.75" customHeight="1" x14ac:dyDescent="0.2">
      <c r="A113" s="969"/>
      <c r="B113" s="911"/>
      <c r="C113" s="911"/>
      <c r="D113" s="911"/>
      <c r="E113" s="911"/>
      <c r="F113" s="911"/>
      <c r="G113" s="911"/>
      <c r="H113" s="911"/>
      <c r="I113" s="911"/>
      <c r="J113" s="911"/>
      <c r="K113" s="911"/>
      <c r="L113" s="911"/>
      <c r="M113" s="911"/>
      <c r="N113" s="911"/>
      <c r="O113" s="911"/>
      <c r="P113" s="911"/>
      <c r="Q113" s="911"/>
      <c r="R113" s="911"/>
      <c r="S113" s="911"/>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row>
    <row r="114" spans="1:52" ht="15.75" customHeight="1" x14ac:dyDescent="0.2">
      <c r="A114" s="969"/>
      <c r="B114" s="911"/>
      <c r="C114" s="911"/>
      <c r="D114" s="911"/>
      <c r="E114" s="911"/>
      <c r="F114" s="911"/>
      <c r="G114" s="911"/>
      <c r="H114" s="911"/>
      <c r="I114" s="911"/>
      <c r="J114" s="911"/>
      <c r="K114" s="911"/>
      <c r="L114" s="911"/>
      <c r="M114" s="911"/>
      <c r="N114" s="911"/>
      <c r="O114" s="911"/>
      <c r="P114" s="911"/>
      <c r="Q114" s="911"/>
      <c r="R114" s="911"/>
      <c r="S114" s="911"/>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row>
    <row r="115" spans="1:52" ht="15.75" customHeight="1" x14ac:dyDescent="0.2">
      <c r="A115" s="969"/>
      <c r="B115" s="911"/>
      <c r="C115" s="911"/>
      <c r="D115" s="911"/>
      <c r="E115" s="911"/>
      <c r="F115" s="911"/>
      <c r="G115" s="911"/>
      <c r="H115" s="911"/>
      <c r="I115" s="911"/>
      <c r="J115" s="911"/>
      <c r="K115" s="911"/>
      <c r="L115" s="911"/>
      <c r="M115" s="911"/>
      <c r="N115" s="911"/>
      <c r="O115" s="911"/>
      <c r="P115" s="911"/>
      <c r="Q115" s="911"/>
      <c r="R115" s="911"/>
      <c r="S115" s="911"/>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row>
    <row r="116" spans="1:52" ht="15.75" customHeight="1" x14ac:dyDescent="0.2">
      <c r="A116" s="969"/>
      <c r="B116" s="911"/>
      <c r="C116" s="911"/>
      <c r="D116" s="911"/>
      <c r="E116" s="911"/>
      <c r="F116" s="911"/>
      <c r="G116" s="911"/>
      <c r="H116" s="911"/>
      <c r="I116" s="911"/>
      <c r="J116" s="911"/>
      <c r="K116" s="911"/>
      <c r="L116" s="911"/>
      <c r="M116" s="911"/>
      <c r="N116" s="911"/>
      <c r="O116" s="911"/>
      <c r="P116" s="911"/>
      <c r="Q116" s="911"/>
      <c r="R116" s="911"/>
      <c r="S116" s="911"/>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row>
    <row r="117" spans="1:52" ht="15.75" customHeight="1" x14ac:dyDescent="0.2">
      <c r="A117" s="969"/>
      <c r="B117" s="911"/>
      <c r="C117" s="911"/>
      <c r="D117" s="911"/>
      <c r="E117" s="911"/>
      <c r="F117" s="911"/>
      <c r="G117" s="911"/>
      <c r="H117" s="911"/>
      <c r="I117" s="911"/>
      <c r="J117" s="911"/>
      <c r="K117" s="911"/>
      <c r="L117" s="911"/>
      <c r="M117" s="911"/>
      <c r="N117" s="911"/>
      <c r="O117" s="911"/>
      <c r="P117" s="911"/>
      <c r="Q117" s="911"/>
      <c r="R117" s="911"/>
      <c r="S117" s="911"/>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row>
    <row r="118" spans="1:52" ht="15.75" customHeight="1" x14ac:dyDescent="0.2">
      <c r="A118" s="969"/>
      <c r="B118" s="911"/>
      <c r="C118" s="911"/>
      <c r="D118" s="911"/>
      <c r="E118" s="911"/>
      <c r="F118" s="911"/>
      <c r="G118" s="911"/>
      <c r="H118" s="911"/>
      <c r="I118" s="911"/>
      <c r="J118" s="911"/>
      <c r="K118" s="911"/>
      <c r="L118" s="911"/>
      <c r="M118" s="911"/>
      <c r="N118" s="911"/>
      <c r="O118" s="911"/>
      <c r="P118" s="911"/>
      <c r="Q118" s="911"/>
      <c r="R118" s="911"/>
      <c r="S118" s="911"/>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row>
    <row r="119" spans="1:52" ht="15.75" customHeight="1" x14ac:dyDescent="0.2">
      <c r="A119" s="969"/>
      <c r="B119" s="911"/>
      <c r="C119" s="911"/>
      <c r="D119" s="911"/>
      <c r="E119" s="911"/>
      <c r="F119" s="911"/>
      <c r="G119" s="911"/>
      <c r="H119" s="911"/>
      <c r="I119" s="911"/>
      <c r="J119" s="911"/>
      <c r="K119" s="911"/>
      <c r="L119" s="911"/>
      <c r="M119" s="911"/>
      <c r="N119" s="911"/>
      <c r="O119" s="911"/>
      <c r="P119" s="911"/>
      <c r="Q119" s="911"/>
      <c r="R119" s="911"/>
      <c r="S119" s="911"/>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row>
    <row r="120" spans="1:52" ht="15.75" customHeight="1" x14ac:dyDescent="0.2">
      <c r="A120" s="969"/>
      <c r="B120" s="911"/>
      <c r="C120" s="911"/>
      <c r="D120" s="911"/>
      <c r="E120" s="911"/>
      <c r="F120" s="911"/>
      <c r="G120" s="911"/>
      <c r="H120" s="911"/>
      <c r="I120" s="911"/>
      <c r="J120" s="911"/>
      <c r="K120" s="911"/>
      <c r="L120" s="911"/>
      <c r="M120" s="911"/>
      <c r="N120" s="911"/>
      <c r="O120" s="911"/>
      <c r="P120" s="911"/>
      <c r="Q120" s="911"/>
      <c r="R120" s="911"/>
      <c r="S120" s="911"/>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row>
    <row r="121" spans="1:52" ht="15.75" customHeight="1" x14ac:dyDescent="0.2">
      <c r="A121" s="969"/>
      <c r="B121" s="911"/>
      <c r="C121" s="911"/>
      <c r="D121" s="911"/>
      <c r="E121" s="911"/>
      <c r="F121" s="911"/>
      <c r="G121" s="911"/>
      <c r="H121" s="911"/>
      <c r="I121" s="911"/>
      <c r="J121" s="911"/>
      <c r="K121" s="911"/>
      <c r="L121" s="911"/>
      <c r="M121" s="911"/>
      <c r="N121" s="911"/>
      <c r="O121" s="911"/>
      <c r="P121" s="911"/>
      <c r="Q121" s="911"/>
      <c r="R121" s="911"/>
      <c r="S121" s="911"/>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row>
    <row r="122" spans="1:52" ht="15.75" customHeight="1" x14ac:dyDescent="0.2">
      <c r="A122" s="969"/>
      <c r="B122" s="911"/>
      <c r="C122" s="911"/>
      <c r="D122" s="911"/>
      <c r="E122" s="911"/>
      <c r="F122" s="911"/>
      <c r="G122" s="911"/>
      <c r="H122" s="911"/>
      <c r="I122" s="911"/>
      <c r="J122" s="911"/>
      <c r="K122" s="911"/>
      <c r="L122" s="911"/>
      <c r="M122" s="911"/>
      <c r="N122" s="911"/>
      <c r="O122" s="911"/>
      <c r="P122" s="911"/>
      <c r="Q122" s="911"/>
      <c r="R122" s="911"/>
      <c r="S122" s="911"/>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row>
    <row r="123" spans="1:52" ht="15.75" customHeight="1" x14ac:dyDescent="0.2">
      <c r="A123" s="969"/>
      <c r="B123" s="911"/>
      <c r="C123" s="911"/>
      <c r="D123" s="911"/>
      <c r="E123" s="911"/>
      <c r="F123" s="911"/>
      <c r="G123" s="911"/>
      <c r="H123" s="911"/>
      <c r="I123" s="911"/>
      <c r="J123" s="911"/>
      <c r="K123" s="911"/>
      <c r="L123" s="911"/>
      <c r="M123" s="911"/>
      <c r="N123" s="911"/>
      <c r="O123" s="911"/>
      <c r="P123" s="911"/>
      <c r="Q123" s="911"/>
      <c r="R123" s="911"/>
      <c r="S123" s="911"/>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row>
    <row r="124" spans="1:52" ht="15.75" customHeight="1" x14ac:dyDescent="0.2">
      <c r="A124" s="969"/>
      <c r="B124" s="911"/>
      <c r="C124" s="911"/>
      <c r="D124" s="911"/>
      <c r="E124" s="911"/>
      <c r="F124" s="911"/>
      <c r="G124" s="911"/>
      <c r="H124" s="911"/>
      <c r="I124" s="911"/>
      <c r="J124" s="911"/>
      <c r="K124" s="911"/>
      <c r="L124" s="911"/>
      <c r="M124" s="911"/>
      <c r="N124" s="911"/>
      <c r="O124" s="911"/>
      <c r="P124" s="911"/>
      <c r="Q124" s="911"/>
      <c r="R124" s="911"/>
      <c r="S124" s="911"/>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row>
    <row r="125" spans="1:52" ht="15.75" customHeight="1" x14ac:dyDescent="0.2">
      <c r="A125" s="969"/>
      <c r="B125" s="911"/>
      <c r="C125" s="911"/>
      <c r="D125" s="911"/>
      <c r="E125" s="911"/>
      <c r="F125" s="911"/>
      <c r="G125" s="911"/>
      <c r="H125" s="911"/>
      <c r="I125" s="911"/>
      <c r="J125" s="911"/>
      <c r="K125" s="911"/>
      <c r="L125" s="911"/>
      <c r="M125" s="911"/>
      <c r="N125" s="911"/>
      <c r="O125" s="911"/>
      <c r="P125" s="911"/>
      <c r="Q125" s="911"/>
      <c r="R125" s="911"/>
      <c r="S125" s="911"/>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row>
    <row r="126" spans="1:52" ht="15.75" customHeight="1" x14ac:dyDescent="0.2">
      <c r="A126" s="969"/>
      <c r="B126" s="911"/>
      <c r="C126" s="911"/>
      <c r="D126" s="911"/>
      <c r="E126" s="911"/>
      <c r="F126" s="911"/>
      <c r="G126" s="911"/>
      <c r="H126" s="911"/>
      <c r="I126" s="911"/>
      <c r="J126" s="911"/>
      <c r="K126" s="911"/>
      <c r="L126" s="911"/>
      <c r="M126" s="911"/>
      <c r="N126" s="911"/>
      <c r="O126" s="911"/>
      <c r="P126" s="911"/>
      <c r="Q126" s="911"/>
      <c r="R126" s="911"/>
      <c r="S126" s="911"/>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row>
    <row r="127" spans="1:52" ht="15.75" customHeight="1" x14ac:dyDescent="0.2">
      <c r="A127" s="969"/>
      <c r="B127" s="911"/>
      <c r="C127" s="911"/>
      <c r="D127" s="911"/>
      <c r="E127" s="911"/>
      <c r="F127" s="911"/>
      <c r="G127" s="911"/>
      <c r="H127" s="911"/>
      <c r="I127" s="911"/>
      <c r="J127" s="911"/>
      <c r="K127" s="911"/>
      <c r="L127" s="911"/>
      <c r="M127" s="911"/>
      <c r="N127" s="911"/>
      <c r="O127" s="911"/>
      <c r="P127" s="911"/>
      <c r="Q127" s="911"/>
      <c r="R127" s="911"/>
      <c r="S127" s="911"/>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row>
    <row r="128" spans="1:52" ht="15.75" customHeight="1" x14ac:dyDescent="0.2">
      <c r="A128" s="969"/>
      <c r="B128" s="911"/>
      <c r="C128" s="911"/>
      <c r="D128" s="911"/>
      <c r="E128" s="911"/>
      <c r="F128" s="911"/>
      <c r="G128" s="911"/>
      <c r="H128" s="911"/>
      <c r="I128" s="911"/>
      <c r="J128" s="911"/>
      <c r="K128" s="911"/>
      <c r="L128" s="911"/>
      <c r="M128" s="911"/>
      <c r="N128" s="911"/>
      <c r="O128" s="911"/>
      <c r="P128" s="911"/>
      <c r="Q128" s="911"/>
      <c r="R128" s="911"/>
      <c r="S128" s="911"/>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row>
    <row r="129" spans="1:52" ht="15.75" customHeight="1" x14ac:dyDescent="0.2">
      <c r="A129" s="969"/>
      <c r="B129" s="911"/>
      <c r="C129" s="911"/>
      <c r="D129" s="911"/>
      <c r="E129" s="911"/>
      <c r="F129" s="911"/>
      <c r="G129" s="911"/>
      <c r="H129" s="911"/>
      <c r="I129" s="911"/>
      <c r="J129" s="911"/>
      <c r="K129" s="911"/>
      <c r="L129" s="911"/>
      <c r="M129" s="911"/>
      <c r="N129" s="911"/>
      <c r="O129" s="911"/>
      <c r="P129" s="911"/>
      <c r="Q129" s="911"/>
      <c r="R129" s="911"/>
      <c r="S129" s="911"/>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row>
    <row r="130" spans="1:52" ht="15.75" customHeight="1" x14ac:dyDescent="0.2">
      <c r="A130" s="969"/>
      <c r="B130" s="911"/>
      <c r="C130" s="911"/>
      <c r="D130" s="911"/>
      <c r="E130" s="911"/>
      <c r="F130" s="911"/>
      <c r="G130" s="911"/>
      <c r="H130" s="911"/>
      <c r="I130" s="911"/>
      <c r="J130" s="911"/>
      <c r="K130" s="911"/>
      <c r="L130" s="911"/>
      <c r="M130" s="911"/>
      <c r="N130" s="911"/>
      <c r="O130" s="911"/>
      <c r="P130" s="911"/>
      <c r="Q130" s="911"/>
      <c r="R130" s="911"/>
      <c r="S130" s="911"/>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row>
    <row r="131" spans="1:52" ht="15.75" customHeight="1" x14ac:dyDescent="0.2">
      <c r="A131" s="969"/>
      <c r="B131" s="911"/>
      <c r="C131" s="911"/>
      <c r="D131" s="911"/>
      <c r="E131" s="911"/>
      <c r="F131" s="911"/>
      <c r="G131" s="911"/>
      <c r="H131" s="911"/>
      <c r="I131" s="911"/>
      <c r="J131" s="911"/>
      <c r="K131" s="911"/>
      <c r="L131" s="911"/>
      <c r="M131" s="911"/>
      <c r="N131" s="911"/>
      <c r="O131" s="911"/>
      <c r="P131" s="911"/>
      <c r="Q131" s="911"/>
      <c r="R131" s="911"/>
      <c r="S131" s="911"/>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row>
    <row r="132" spans="1:52" ht="15.75" customHeight="1" x14ac:dyDescent="0.2">
      <c r="A132" s="969"/>
      <c r="B132" s="911"/>
      <c r="C132" s="911"/>
      <c r="D132" s="911"/>
      <c r="E132" s="911"/>
      <c r="F132" s="911"/>
      <c r="G132" s="911"/>
      <c r="H132" s="911"/>
      <c r="I132" s="911"/>
      <c r="J132" s="911"/>
      <c r="K132" s="911"/>
      <c r="L132" s="911"/>
      <c r="M132" s="911"/>
      <c r="N132" s="911"/>
      <c r="O132" s="911"/>
      <c r="P132" s="911"/>
      <c r="Q132" s="911"/>
      <c r="R132" s="911"/>
      <c r="S132" s="911"/>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row>
    <row r="133" spans="1:52" ht="15.75" customHeight="1" x14ac:dyDescent="0.2">
      <c r="A133" s="969"/>
      <c r="B133" s="911"/>
      <c r="C133" s="911"/>
      <c r="D133" s="911"/>
      <c r="E133" s="911"/>
      <c r="F133" s="911"/>
      <c r="G133" s="911"/>
      <c r="H133" s="911"/>
      <c r="I133" s="911"/>
      <c r="J133" s="911"/>
      <c r="K133" s="911"/>
      <c r="L133" s="911"/>
      <c r="M133" s="911"/>
      <c r="N133" s="911"/>
      <c r="O133" s="911"/>
      <c r="P133" s="911"/>
      <c r="Q133" s="911"/>
      <c r="R133" s="911"/>
      <c r="S133" s="911"/>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row>
    <row r="134" spans="1:52" ht="15.75" customHeight="1" x14ac:dyDescent="0.2">
      <c r="A134" s="969"/>
      <c r="B134" s="911"/>
      <c r="C134" s="911"/>
      <c r="D134" s="911"/>
      <c r="E134" s="911"/>
      <c r="F134" s="911"/>
      <c r="G134" s="911"/>
      <c r="H134" s="911"/>
      <c r="I134" s="911"/>
      <c r="J134" s="911"/>
      <c r="K134" s="911"/>
      <c r="L134" s="911"/>
      <c r="M134" s="911"/>
      <c r="N134" s="911"/>
      <c r="O134" s="911"/>
      <c r="P134" s="911"/>
      <c r="Q134" s="911"/>
      <c r="R134" s="911"/>
      <c r="S134" s="911"/>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row>
    <row r="135" spans="1:52" ht="15.75" customHeight="1" x14ac:dyDescent="0.2">
      <c r="A135" s="969"/>
      <c r="B135" s="911"/>
      <c r="C135" s="911"/>
      <c r="D135" s="911"/>
      <c r="E135" s="911"/>
      <c r="F135" s="911"/>
      <c r="G135" s="911"/>
      <c r="H135" s="911"/>
      <c r="I135" s="911"/>
      <c r="J135" s="911"/>
      <c r="K135" s="911"/>
      <c r="L135" s="911"/>
      <c r="M135" s="911"/>
      <c r="N135" s="911"/>
      <c r="O135" s="911"/>
      <c r="P135" s="911"/>
      <c r="Q135" s="911"/>
      <c r="R135" s="911"/>
      <c r="S135" s="911"/>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row>
    <row r="136" spans="1:52" ht="15.75" customHeight="1" x14ac:dyDescent="0.2">
      <c r="A136" s="969"/>
      <c r="B136" s="911"/>
      <c r="C136" s="911"/>
      <c r="D136" s="911"/>
      <c r="E136" s="911"/>
      <c r="F136" s="911"/>
      <c r="G136" s="911"/>
      <c r="H136" s="911"/>
      <c r="I136" s="911"/>
      <c r="J136" s="911"/>
      <c r="K136" s="911"/>
      <c r="L136" s="911"/>
      <c r="M136" s="911"/>
      <c r="N136" s="911"/>
      <c r="O136" s="911"/>
      <c r="P136" s="911"/>
      <c r="Q136" s="911"/>
      <c r="R136" s="911"/>
      <c r="S136" s="911"/>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row>
    <row r="137" spans="1:52" ht="15.75" customHeight="1" x14ac:dyDescent="0.2">
      <c r="A137" s="969"/>
      <c r="B137" s="911"/>
      <c r="C137" s="911"/>
      <c r="D137" s="911"/>
      <c r="E137" s="911"/>
      <c r="F137" s="911"/>
      <c r="G137" s="911"/>
      <c r="H137" s="911"/>
      <c r="I137" s="911"/>
      <c r="J137" s="911"/>
      <c r="K137" s="911"/>
      <c r="L137" s="911"/>
      <c r="M137" s="911"/>
      <c r="N137" s="911"/>
      <c r="O137" s="911"/>
      <c r="P137" s="911"/>
      <c r="Q137" s="911"/>
      <c r="R137" s="911"/>
      <c r="S137" s="911"/>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row>
    <row r="138" spans="1:52" ht="15.75" customHeight="1" x14ac:dyDescent="0.2">
      <c r="A138" s="969"/>
      <c r="B138" s="911"/>
      <c r="C138" s="911"/>
      <c r="D138" s="911"/>
      <c r="E138" s="911"/>
      <c r="F138" s="911"/>
      <c r="G138" s="911"/>
      <c r="H138" s="911"/>
      <c r="I138" s="911"/>
      <c r="J138" s="911"/>
      <c r="K138" s="911"/>
      <c r="L138" s="911"/>
      <c r="M138" s="911"/>
      <c r="N138" s="911"/>
      <c r="O138" s="911"/>
      <c r="P138" s="911"/>
      <c r="Q138" s="911"/>
      <c r="R138" s="911"/>
      <c r="S138" s="911"/>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row>
    <row r="139" spans="1:52" ht="15.75" customHeight="1" x14ac:dyDescent="0.2">
      <c r="A139" s="969"/>
      <c r="B139" s="911"/>
      <c r="C139" s="911"/>
      <c r="D139" s="911"/>
      <c r="E139" s="911"/>
      <c r="F139" s="911"/>
      <c r="G139" s="911"/>
      <c r="H139" s="911"/>
      <c r="I139" s="911"/>
      <c r="J139" s="911"/>
      <c r="K139" s="911"/>
      <c r="L139" s="911"/>
      <c r="M139" s="911"/>
      <c r="N139" s="911"/>
      <c r="O139" s="911"/>
      <c r="P139" s="911"/>
      <c r="Q139" s="911"/>
      <c r="R139" s="911"/>
      <c r="S139" s="911"/>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row>
    <row r="140" spans="1:52" ht="15.75" customHeight="1" x14ac:dyDescent="0.2">
      <c r="A140" s="969"/>
      <c r="B140" s="911"/>
      <c r="C140" s="911"/>
      <c r="D140" s="911"/>
      <c r="E140" s="911"/>
      <c r="F140" s="911"/>
      <c r="G140" s="911"/>
      <c r="H140" s="911"/>
      <c r="I140" s="911"/>
      <c r="J140" s="911"/>
      <c r="K140" s="911"/>
      <c r="L140" s="911"/>
      <c r="M140" s="911"/>
      <c r="N140" s="911"/>
      <c r="O140" s="911"/>
      <c r="P140" s="911"/>
      <c r="Q140" s="911"/>
      <c r="R140" s="911"/>
      <c r="S140" s="911"/>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row>
    <row r="141" spans="1:52" ht="15.75" customHeight="1" x14ac:dyDescent="0.2">
      <c r="A141" s="969"/>
      <c r="B141" s="911"/>
      <c r="C141" s="911"/>
      <c r="D141" s="911"/>
      <c r="E141" s="911"/>
      <c r="F141" s="911"/>
      <c r="G141" s="911"/>
      <c r="H141" s="911"/>
      <c r="I141" s="911"/>
      <c r="J141" s="911"/>
      <c r="K141" s="911"/>
      <c r="L141" s="911"/>
      <c r="M141" s="911"/>
      <c r="N141" s="911"/>
      <c r="O141" s="911"/>
      <c r="P141" s="911"/>
      <c r="Q141" s="911"/>
      <c r="R141" s="911"/>
      <c r="S141" s="911"/>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row>
    <row r="142" spans="1:52" ht="15.75" customHeight="1" x14ac:dyDescent="0.2">
      <c r="A142" s="969"/>
      <c r="B142" s="911"/>
      <c r="C142" s="911"/>
      <c r="D142" s="911"/>
      <c r="E142" s="911"/>
      <c r="F142" s="911"/>
      <c r="G142" s="911"/>
      <c r="H142" s="911"/>
      <c r="I142" s="911"/>
      <c r="J142" s="911"/>
      <c r="K142" s="911"/>
      <c r="L142" s="911"/>
      <c r="M142" s="911"/>
      <c r="N142" s="911"/>
      <c r="O142" s="911"/>
      <c r="P142" s="911"/>
      <c r="Q142" s="911"/>
      <c r="R142" s="911"/>
      <c r="S142" s="911"/>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row>
    <row r="143" spans="1:52" ht="15.75" customHeight="1" x14ac:dyDescent="0.2">
      <c r="A143" s="969"/>
      <c r="B143" s="911"/>
      <c r="C143" s="911"/>
      <c r="D143" s="911"/>
      <c r="E143" s="911"/>
      <c r="F143" s="911"/>
      <c r="G143" s="911"/>
      <c r="H143" s="911"/>
      <c r="I143" s="911"/>
      <c r="J143" s="911"/>
      <c r="K143" s="911"/>
      <c r="L143" s="911"/>
      <c r="M143" s="911"/>
      <c r="N143" s="911"/>
      <c r="O143" s="911"/>
      <c r="P143" s="911"/>
      <c r="Q143" s="911"/>
      <c r="R143" s="911"/>
      <c r="S143" s="911"/>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row>
    <row r="144" spans="1:52" ht="15.75" customHeight="1" x14ac:dyDescent="0.2">
      <c r="A144" s="969"/>
      <c r="B144" s="911"/>
      <c r="C144" s="911"/>
      <c r="D144" s="911"/>
      <c r="E144" s="911"/>
      <c r="F144" s="911"/>
      <c r="G144" s="911"/>
      <c r="H144" s="911"/>
      <c r="I144" s="911"/>
      <c r="J144" s="911"/>
      <c r="K144" s="911"/>
      <c r="L144" s="911"/>
      <c r="M144" s="911"/>
      <c r="N144" s="911"/>
      <c r="O144" s="911"/>
      <c r="P144" s="911"/>
      <c r="Q144" s="911"/>
      <c r="R144" s="911"/>
      <c r="S144" s="911"/>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row>
    <row r="145" spans="1:52" ht="15.75" customHeight="1" x14ac:dyDescent="0.2">
      <c r="A145" s="969"/>
      <c r="B145" s="911"/>
      <c r="C145" s="911"/>
      <c r="D145" s="911"/>
      <c r="E145" s="911"/>
      <c r="F145" s="911"/>
      <c r="G145" s="911"/>
      <c r="H145" s="911"/>
      <c r="I145" s="911"/>
      <c r="J145" s="911"/>
      <c r="K145" s="911"/>
      <c r="L145" s="911"/>
      <c r="M145" s="911"/>
      <c r="N145" s="911"/>
      <c r="O145" s="911"/>
      <c r="P145" s="911"/>
      <c r="Q145" s="911"/>
      <c r="R145" s="911"/>
      <c r="S145" s="911"/>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row>
    <row r="146" spans="1:52" ht="15.75" customHeight="1" x14ac:dyDescent="0.2">
      <c r="A146" s="969"/>
      <c r="B146" s="911"/>
      <c r="C146" s="911"/>
      <c r="D146" s="911"/>
      <c r="E146" s="911"/>
      <c r="F146" s="911"/>
      <c r="G146" s="911"/>
      <c r="H146" s="911"/>
      <c r="I146" s="911"/>
      <c r="J146" s="911"/>
      <c r="K146" s="911"/>
      <c r="L146" s="911"/>
      <c r="M146" s="911"/>
      <c r="N146" s="911"/>
      <c r="O146" s="911"/>
      <c r="P146" s="911"/>
      <c r="Q146" s="911"/>
      <c r="R146" s="911"/>
      <c r="S146" s="911"/>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row>
    <row r="147" spans="1:52" ht="15.75" customHeight="1" x14ac:dyDescent="0.2">
      <c r="A147" s="969"/>
      <c r="B147" s="911"/>
      <c r="C147" s="911"/>
      <c r="D147" s="911"/>
      <c r="E147" s="911"/>
      <c r="F147" s="911"/>
      <c r="G147" s="911"/>
      <c r="H147" s="911"/>
      <c r="I147" s="911"/>
      <c r="J147" s="911"/>
      <c r="K147" s="911"/>
      <c r="L147" s="911"/>
      <c r="M147" s="911"/>
      <c r="N147" s="911"/>
      <c r="O147" s="911"/>
      <c r="P147" s="911"/>
      <c r="Q147" s="911"/>
      <c r="R147" s="911"/>
      <c r="S147" s="911"/>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row>
    <row r="148" spans="1:52" ht="15.75" customHeight="1" x14ac:dyDescent="0.2">
      <c r="A148" s="969"/>
      <c r="B148" s="911"/>
      <c r="C148" s="911"/>
      <c r="D148" s="911"/>
      <c r="E148" s="911"/>
      <c r="F148" s="911"/>
      <c r="G148" s="911"/>
      <c r="H148" s="911"/>
      <c r="I148" s="911"/>
      <c r="J148" s="911"/>
      <c r="K148" s="911"/>
      <c r="L148" s="911"/>
      <c r="M148" s="911"/>
      <c r="N148" s="911"/>
      <c r="O148" s="911"/>
      <c r="P148" s="911"/>
      <c r="Q148" s="911"/>
      <c r="R148" s="911"/>
      <c r="S148" s="911"/>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row>
    <row r="149" spans="1:52" ht="15.75" customHeight="1" x14ac:dyDescent="0.2">
      <c r="A149" s="969"/>
      <c r="B149" s="911"/>
      <c r="C149" s="911"/>
      <c r="D149" s="911"/>
      <c r="E149" s="911"/>
      <c r="F149" s="911"/>
      <c r="G149" s="911"/>
      <c r="H149" s="911"/>
      <c r="I149" s="911"/>
      <c r="J149" s="911"/>
      <c r="K149" s="911"/>
      <c r="L149" s="911"/>
      <c r="M149" s="911"/>
      <c r="N149" s="911"/>
      <c r="O149" s="911"/>
      <c r="P149" s="911"/>
      <c r="Q149" s="911"/>
      <c r="R149" s="911"/>
      <c r="S149" s="911"/>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row>
    <row r="150" spans="1:52" ht="15.75" customHeight="1" x14ac:dyDescent="0.2">
      <c r="A150" s="969"/>
      <c r="B150" s="911"/>
      <c r="C150" s="911"/>
      <c r="D150" s="911"/>
      <c r="E150" s="911"/>
      <c r="F150" s="911"/>
      <c r="G150" s="911"/>
      <c r="H150" s="911"/>
      <c r="I150" s="911"/>
      <c r="J150" s="911"/>
      <c r="K150" s="911"/>
      <c r="L150" s="911"/>
      <c r="M150" s="911"/>
      <c r="N150" s="911"/>
      <c r="O150" s="911"/>
      <c r="P150" s="911"/>
      <c r="Q150" s="911"/>
      <c r="R150" s="911"/>
      <c r="S150" s="911"/>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row>
    <row r="151" spans="1:52" ht="15.75" customHeight="1" x14ac:dyDescent="0.2">
      <c r="A151" s="969"/>
      <c r="B151" s="911"/>
      <c r="C151" s="911"/>
      <c r="D151" s="911"/>
      <c r="E151" s="911"/>
      <c r="F151" s="911"/>
      <c r="G151" s="911"/>
      <c r="H151" s="911"/>
      <c r="I151" s="911"/>
      <c r="J151" s="911"/>
      <c r="K151" s="911"/>
      <c r="L151" s="911"/>
      <c r="M151" s="911"/>
      <c r="N151" s="911"/>
      <c r="O151" s="911"/>
      <c r="P151" s="911"/>
      <c r="Q151" s="911"/>
      <c r="R151" s="911"/>
      <c r="S151" s="911"/>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row>
    <row r="152" spans="1:52" ht="15.75" customHeight="1" x14ac:dyDescent="0.2">
      <c r="A152" s="969"/>
      <c r="B152" s="911"/>
      <c r="C152" s="911"/>
      <c r="D152" s="911"/>
      <c r="E152" s="911"/>
      <c r="F152" s="911"/>
      <c r="G152" s="911"/>
      <c r="H152" s="911"/>
      <c r="I152" s="911"/>
      <c r="J152" s="911"/>
      <c r="K152" s="911"/>
      <c r="L152" s="911"/>
      <c r="M152" s="911"/>
      <c r="N152" s="911"/>
      <c r="O152" s="911"/>
      <c r="P152" s="911"/>
      <c r="Q152" s="911"/>
      <c r="R152" s="911"/>
      <c r="S152" s="911"/>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row>
    <row r="153" spans="1:52" ht="15.75" customHeight="1" x14ac:dyDescent="0.2">
      <c r="A153" s="969"/>
      <c r="B153" s="911"/>
      <c r="C153" s="911"/>
      <c r="D153" s="911"/>
      <c r="E153" s="911"/>
      <c r="F153" s="911"/>
      <c r="G153" s="911"/>
      <c r="H153" s="911"/>
      <c r="I153" s="911"/>
      <c r="J153" s="911"/>
      <c r="K153" s="911"/>
      <c r="L153" s="911"/>
      <c r="M153" s="911"/>
      <c r="N153" s="911"/>
      <c r="O153" s="911"/>
      <c r="P153" s="911"/>
      <c r="Q153" s="911"/>
      <c r="R153" s="911"/>
      <c r="S153" s="911"/>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row>
    <row r="154" spans="1:52" ht="15.75" customHeight="1" x14ac:dyDescent="0.2">
      <c r="A154" s="969"/>
      <c r="B154" s="911"/>
      <c r="C154" s="911"/>
      <c r="D154" s="911"/>
      <c r="E154" s="911"/>
      <c r="F154" s="911"/>
      <c r="G154" s="911"/>
      <c r="H154" s="911"/>
      <c r="I154" s="911"/>
      <c r="J154" s="911"/>
      <c r="K154" s="911"/>
      <c r="L154" s="911"/>
      <c r="M154" s="911"/>
      <c r="N154" s="911"/>
      <c r="O154" s="911"/>
      <c r="P154" s="911"/>
      <c r="Q154" s="911"/>
      <c r="R154" s="911"/>
      <c r="S154" s="911"/>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row>
    <row r="155" spans="1:52" ht="15.75" customHeight="1" x14ac:dyDescent="0.2">
      <c r="A155" s="969"/>
      <c r="B155" s="911"/>
      <c r="C155" s="911"/>
      <c r="D155" s="911"/>
      <c r="E155" s="911"/>
      <c r="F155" s="911"/>
      <c r="G155" s="911"/>
      <c r="H155" s="911"/>
      <c r="I155" s="911"/>
      <c r="J155" s="911"/>
      <c r="K155" s="911"/>
      <c r="L155" s="911"/>
      <c r="M155" s="911"/>
      <c r="N155" s="911"/>
      <c r="O155" s="911"/>
      <c r="P155" s="911"/>
      <c r="Q155" s="911"/>
      <c r="R155" s="911"/>
      <c r="S155" s="911"/>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row>
    <row r="156" spans="1:52" ht="15.75" customHeight="1" x14ac:dyDescent="0.2">
      <c r="A156" s="969"/>
      <c r="B156" s="911"/>
      <c r="C156" s="911"/>
      <c r="D156" s="911"/>
      <c r="E156" s="911"/>
      <c r="F156" s="911"/>
      <c r="G156" s="911"/>
      <c r="H156" s="911"/>
      <c r="I156" s="911"/>
      <c r="J156" s="911"/>
      <c r="K156" s="911"/>
      <c r="L156" s="911"/>
      <c r="M156" s="911"/>
      <c r="N156" s="911"/>
      <c r="O156" s="911"/>
      <c r="P156" s="911"/>
      <c r="Q156" s="911"/>
      <c r="R156" s="911"/>
      <c r="S156" s="911"/>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row>
    <row r="157" spans="1:52" ht="15.75" customHeight="1" x14ac:dyDescent="0.2">
      <c r="A157" s="969"/>
      <c r="B157" s="911"/>
      <c r="C157" s="911"/>
      <c r="D157" s="911"/>
      <c r="E157" s="911"/>
      <c r="F157" s="911"/>
      <c r="G157" s="911"/>
      <c r="H157" s="911"/>
      <c r="I157" s="911"/>
      <c r="J157" s="911"/>
      <c r="K157" s="911"/>
      <c r="L157" s="911"/>
      <c r="M157" s="911"/>
      <c r="N157" s="911"/>
      <c r="O157" s="911"/>
      <c r="P157" s="911"/>
      <c r="Q157" s="911"/>
      <c r="R157" s="911"/>
      <c r="S157" s="911"/>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row>
    <row r="158" spans="1:52" ht="15.75" customHeight="1" x14ac:dyDescent="0.2">
      <c r="A158" s="969"/>
      <c r="B158" s="911"/>
      <c r="C158" s="911"/>
      <c r="D158" s="911"/>
      <c r="E158" s="911"/>
      <c r="F158" s="911"/>
      <c r="G158" s="911"/>
      <c r="H158" s="911"/>
      <c r="I158" s="911"/>
      <c r="J158" s="911"/>
      <c r="K158" s="911"/>
      <c r="L158" s="911"/>
      <c r="M158" s="911"/>
      <c r="N158" s="911"/>
      <c r="O158" s="911"/>
      <c r="P158" s="911"/>
      <c r="Q158" s="911"/>
      <c r="R158" s="911"/>
      <c r="S158" s="911"/>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row>
    <row r="159" spans="1:52" ht="15.75" customHeight="1" x14ac:dyDescent="0.2">
      <c r="A159" s="969"/>
      <c r="B159" s="911"/>
      <c r="C159" s="911"/>
      <c r="D159" s="911"/>
      <c r="E159" s="911"/>
      <c r="F159" s="911"/>
      <c r="G159" s="911"/>
      <c r="H159" s="911"/>
      <c r="I159" s="911"/>
      <c r="J159" s="911"/>
      <c r="K159" s="911"/>
      <c r="L159" s="911"/>
      <c r="M159" s="911"/>
      <c r="N159" s="911"/>
      <c r="O159" s="911"/>
      <c r="P159" s="911"/>
      <c r="Q159" s="911"/>
      <c r="R159" s="911"/>
      <c r="S159" s="911"/>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row>
    <row r="160" spans="1:52" ht="15.75" customHeight="1" x14ac:dyDescent="0.2">
      <c r="A160" s="969"/>
      <c r="B160" s="911"/>
      <c r="C160" s="911"/>
      <c r="D160" s="911"/>
      <c r="E160" s="911"/>
      <c r="F160" s="911"/>
      <c r="G160" s="911"/>
      <c r="H160" s="911"/>
      <c r="I160" s="911"/>
      <c r="J160" s="911"/>
      <c r="K160" s="911"/>
      <c r="L160" s="911"/>
      <c r="M160" s="911"/>
      <c r="N160" s="911"/>
      <c r="O160" s="911"/>
      <c r="P160" s="911"/>
      <c r="Q160" s="911"/>
      <c r="R160" s="911"/>
      <c r="S160" s="911"/>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row>
    <row r="161" spans="1:52" ht="15.75" customHeight="1" x14ac:dyDescent="0.2">
      <c r="A161" s="969"/>
      <c r="B161" s="911"/>
      <c r="C161" s="911"/>
      <c r="D161" s="911"/>
      <c r="E161" s="911"/>
      <c r="F161" s="911"/>
      <c r="G161" s="911"/>
      <c r="H161" s="911"/>
      <c r="I161" s="911"/>
      <c r="J161" s="911"/>
      <c r="K161" s="911"/>
      <c r="L161" s="911"/>
      <c r="M161" s="911"/>
      <c r="N161" s="911"/>
      <c r="O161" s="911"/>
      <c r="P161" s="911"/>
      <c r="Q161" s="911"/>
      <c r="R161" s="911"/>
      <c r="S161" s="911"/>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row>
    <row r="162" spans="1:52" ht="15.75" customHeight="1" x14ac:dyDescent="0.2">
      <c r="A162" s="969"/>
      <c r="B162" s="911"/>
      <c r="C162" s="911"/>
      <c r="D162" s="911"/>
      <c r="E162" s="911"/>
      <c r="F162" s="911"/>
      <c r="G162" s="911"/>
      <c r="H162" s="911"/>
      <c r="I162" s="911"/>
      <c r="J162" s="911"/>
      <c r="K162" s="911"/>
      <c r="L162" s="911"/>
      <c r="M162" s="911"/>
      <c r="N162" s="911"/>
      <c r="O162" s="911"/>
      <c r="P162" s="911"/>
      <c r="Q162" s="911"/>
      <c r="R162" s="911"/>
      <c r="S162" s="911"/>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row>
    <row r="163" spans="1:52" ht="15.75" customHeight="1" x14ac:dyDescent="0.2">
      <c r="A163" s="969"/>
      <c r="B163" s="911"/>
      <c r="C163" s="911"/>
      <c r="D163" s="911"/>
      <c r="E163" s="911"/>
      <c r="F163" s="911"/>
      <c r="G163" s="911"/>
      <c r="H163" s="911"/>
      <c r="I163" s="911"/>
      <c r="J163" s="911"/>
      <c r="K163" s="911"/>
      <c r="L163" s="911"/>
      <c r="M163" s="911"/>
      <c r="N163" s="911"/>
      <c r="O163" s="911"/>
      <c r="P163" s="911"/>
      <c r="Q163" s="911"/>
      <c r="R163" s="911"/>
      <c r="S163" s="911"/>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row>
    <row r="164" spans="1:52" ht="15.75" customHeight="1" x14ac:dyDescent="0.2">
      <c r="A164" s="969"/>
      <c r="B164" s="911"/>
      <c r="C164" s="911"/>
      <c r="D164" s="911"/>
      <c r="E164" s="911"/>
      <c r="F164" s="911"/>
      <c r="G164" s="911"/>
      <c r="H164" s="911"/>
      <c r="I164" s="911"/>
      <c r="J164" s="911"/>
      <c r="K164" s="911"/>
      <c r="L164" s="911"/>
      <c r="M164" s="911"/>
      <c r="N164" s="911"/>
      <c r="O164" s="911"/>
      <c r="P164" s="911"/>
      <c r="Q164" s="911"/>
      <c r="R164" s="911"/>
      <c r="S164" s="911"/>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row>
    <row r="165" spans="1:52" ht="15.75" customHeight="1" x14ac:dyDescent="0.2">
      <c r="A165" s="969"/>
      <c r="B165" s="911"/>
      <c r="C165" s="911"/>
      <c r="D165" s="911"/>
      <c r="E165" s="911"/>
      <c r="F165" s="911"/>
      <c r="G165" s="911"/>
      <c r="H165" s="911"/>
      <c r="I165" s="911"/>
      <c r="J165" s="911"/>
      <c r="K165" s="911"/>
      <c r="L165" s="911"/>
      <c r="M165" s="911"/>
      <c r="N165" s="911"/>
      <c r="O165" s="911"/>
      <c r="P165" s="911"/>
      <c r="Q165" s="911"/>
      <c r="R165" s="911"/>
      <c r="S165" s="911"/>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row>
    <row r="166" spans="1:52" ht="15.75" customHeight="1" x14ac:dyDescent="0.2">
      <c r="A166" s="969"/>
      <c r="B166" s="911"/>
      <c r="C166" s="911"/>
      <c r="D166" s="911"/>
      <c r="E166" s="911"/>
      <c r="F166" s="911"/>
      <c r="G166" s="911"/>
      <c r="H166" s="911"/>
      <c r="I166" s="911"/>
      <c r="J166" s="911"/>
      <c r="K166" s="911"/>
      <c r="L166" s="911"/>
      <c r="M166" s="911"/>
      <c r="N166" s="911"/>
      <c r="O166" s="911"/>
      <c r="P166" s="911"/>
      <c r="Q166" s="911"/>
      <c r="R166" s="911"/>
      <c r="S166" s="911"/>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row>
    <row r="167" spans="1:52" ht="15.75" customHeight="1" x14ac:dyDescent="0.2">
      <c r="A167" s="969"/>
      <c r="B167" s="911"/>
      <c r="C167" s="911"/>
      <c r="D167" s="911"/>
      <c r="E167" s="911"/>
      <c r="F167" s="911"/>
      <c r="G167" s="911"/>
      <c r="H167" s="911"/>
      <c r="I167" s="911"/>
      <c r="J167" s="911"/>
      <c r="K167" s="911"/>
      <c r="L167" s="911"/>
      <c r="M167" s="911"/>
      <c r="N167" s="911"/>
      <c r="O167" s="911"/>
      <c r="P167" s="911"/>
      <c r="Q167" s="911"/>
      <c r="R167" s="911"/>
      <c r="S167" s="911"/>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row>
    <row r="168" spans="1:52" ht="15.75" customHeight="1" x14ac:dyDescent="0.2">
      <c r="A168" s="969"/>
      <c r="B168" s="911"/>
      <c r="C168" s="911"/>
      <c r="D168" s="911"/>
      <c r="E168" s="911"/>
      <c r="F168" s="911"/>
      <c r="G168" s="911"/>
      <c r="H168" s="911"/>
      <c r="I168" s="911"/>
      <c r="J168" s="911"/>
      <c r="K168" s="911"/>
      <c r="L168" s="911"/>
      <c r="M168" s="911"/>
      <c r="N168" s="911"/>
      <c r="O168" s="911"/>
      <c r="P168" s="911"/>
      <c r="Q168" s="911"/>
      <c r="R168" s="911"/>
      <c r="S168" s="911"/>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row>
    <row r="169" spans="1:52" ht="15.75" customHeight="1" x14ac:dyDescent="0.2">
      <c r="A169" s="969"/>
      <c r="B169" s="911"/>
      <c r="C169" s="911"/>
      <c r="D169" s="911"/>
      <c r="E169" s="911"/>
      <c r="F169" s="911"/>
      <c r="G169" s="911"/>
      <c r="H169" s="911"/>
      <c r="I169" s="911"/>
      <c r="J169" s="911"/>
      <c r="K169" s="911"/>
      <c r="L169" s="911"/>
      <c r="M169" s="911"/>
      <c r="N169" s="911"/>
      <c r="O169" s="911"/>
      <c r="P169" s="911"/>
      <c r="Q169" s="911"/>
      <c r="R169" s="911"/>
      <c r="S169" s="911"/>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row>
    <row r="170" spans="1:52" ht="15.75" customHeight="1" x14ac:dyDescent="0.2">
      <c r="A170" s="969"/>
      <c r="B170" s="911"/>
      <c r="C170" s="911"/>
      <c r="D170" s="911"/>
      <c r="E170" s="911"/>
      <c r="F170" s="911"/>
      <c r="G170" s="911"/>
      <c r="H170" s="911"/>
      <c r="I170" s="911"/>
      <c r="J170" s="911"/>
      <c r="K170" s="911"/>
      <c r="L170" s="911"/>
      <c r="M170" s="911"/>
      <c r="N170" s="911"/>
      <c r="O170" s="911"/>
      <c r="P170" s="911"/>
      <c r="Q170" s="911"/>
      <c r="R170" s="911"/>
      <c r="S170" s="911"/>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row>
    <row r="171" spans="1:52" ht="15.75" customHeight="1" x14ac:dyDescent="0.2">
      <c r="A171" s="969"/>
      <c r="B171" s="911"/>
      <c r="C171" s="911"/>
      <c r="D171" s="911"/>
      <c r="E171" s="911"/>
      <c r="F171" s="911"/>
      <c r="G171" s="911"/>
      <c r="H171" s="911"/>
      <c r="I171" s="911"/>
      <c r="J171" s="911"/>
      <c r="K171" s="911"/>
      <c r="L171" s="911"/>
      <c r="M171" s="911"/>
      <c r="N171" s="911"/>
      <c r="O171" s="911"/>
      <c r="P171" s="911"/>
      <c r="Q171" s="911"/>
      <c r="R171" s="911"/>
      <c r="S171" s="911"/>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row>
    <row r="172" spans="1:52" ht="15.75" customHeight="1" x14ac:dyDescent="0.2">
      <c r="A172" s="969"/>
      <c r="B172" s="911"/>
      <c r="C172" s="911"/>
      <c r="D172" s="911"/>
      <c r="E172" s="911"/>
      <c r="F172" s="911"/>
      <c r="G172" s="911"/>
      <c r="H172" s="911"/>
      <c r="I172" s="911"/>
      <c r="J172" s="911"/>
      <c r="K172" s="911"/>
      <c r="L172" s="911"/>
      <c r="M172" s="911"/>
      <c r="N172" s="911"/>
      <c r="O172" s="911"/>
      <c r="P172" s="911"/>
      <c r="Q172" s="911"/>
      <c r="R172" s="911"/>
      <c r="S172" s="911"/>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row>
    <row r="173" spans="1:52" ht="15.75" customHeight="1" x14ac:dyDescent="0.2">
      <c r="A173" s="969"/>
      <c r="B173" s="911"/>
      <c r="C173" s="911"/>
      <c r="D173" s="911"/>
      <c r="E173" s="911"/>
      <c r="F173" s="911"/>
      <c r="G173" s="911"/>
      <c r="H173" s="911"/>
      <c r="I173" s="911"/>
      <c r="J173" s="911"/>
      <c r="K173" s="911"/>
      <c r="L173" s="911"/>
      <c r="M173" s="911"/>
      <c r="N173" s="911"/>
      <c r="O173" s="911"/>
      <c r="P173" s="911"/>
      <c r="Q173" s="911"/>
      <c r="R173" s="911"/>
      <c r="S173" s="911"/>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row>
    <row r="174" spans="1:52" ht="15.75" customHeight="1" x14ac:dyDescent="0.2">
      <c r="A174" s="969"/>
      <c r="B174" s="911"/>
      <c r="C174" s="911"/>
      <c r="D174" s="911"/>
      <c r="E174" s="911"/>
      <c r="F174" s="911"/>
      <c r="G174" s="911"/>
      <c r="H174" s="911"/>
      <c r="I174" s="911"/>
      <c r="J174" s="911"/>
      <c r="K174" s="911"/>
      <c r="L174" s="911"/>
      <c r="M174" s="911"/>
      <c r="N174" s="911"/>
      <c r="O174" s="911"/>
      <c r="P174" s="911"/>
      <c r="Q174" s="911"/>
      <c r="R174" s="911"/>
      <c r="S174" s="911"/>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row>
    <row r="175" spans="1:52" ht="15.75" customHeight="1" x14ac:dyDescent="0.2">
      <c r="A175" s="969"/>
      <c r="B175" s="911"/>
      <c r="C175" s="911"/>
      <c r="D175" s="911"/>
      <c r="E175" s="911"/>
      <c r="F175" s="911"/>
      <c r="G175" s="911"/>
      <c r="H175" s="911"/>
      <c r="I175" s="911"/>
      <c r="J175" s="911"/>
      <c r="K175" s="911"/>
      <c r="L175" s="911"/>
      <c r="M175" s="911"/>
      <c r="N175" s="911"/>
      <c r="O175" s="911"/>
      <c r="P175" s="911"/>
      <c r="Q175" s="911"/>
      <c r="R175" s="911"/>
      <c r="S175" s="911"/>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row>
    <row r="176" spans="1:52" ht="15.75" customHeight="1" x14ac:dyDescent="0.2">
      <c r="A176" s="969"/>
      <c r="B176" s="911"/>
      <c r="C176" s="911"/>
      <c r="D176" s="911"/>
      <c r="E176" s="911"/>
      <c r="F176" s="911"/>
      <c r="G176" s="911"/>
      <c r="H176" s="911"/>
      <c r="I176" s="911"/>
      <c r="J176" s="911"/>
      <c r="K176" s="911"/>
      <c r="L176" s="911"/>
      <c r="M176" s="911"/>
      <c r="N176" s="911"/>
      <c r="O176" s="911"/>
      <c r="P176" s="911"/>
      <c r="Q176" s="911"/>
      <c r="R176" s="911"/>
      <c r="S176" s="911"/>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row>
    <row r="177" spans="1:52" ht="15.75" customHeight="1" x14ac:dyDescent="0.2">
      <c r="A177" s="969"/>
      <c r="B177" s="911"/>
      <c r="C177" s="911"/>
      <c r="D177" s="911"/>
      <c r="E177" s="911"/>
      <c r="F177" s="911"/>
      <c r="G177" s="911"/>
      <c r="H177" s="911"/>
      <c r="I177" s="911"/>
      <c r="J177" s="911"/>
      <c r="K177" s="911"/>
      <c r="L177" s="911"/>
      <c r="M177" s="911"/>
      <c r="N177" s="911"/>
      <c r="O177" s="911"/>
      <c r="P177" s="911"/>
      <c r="Q177" s="911"/>
      <c r="R177" s="911"/>
      <c r="S177" s="911"/>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row>
    <row r="178" spans="1:52" ht="15.75" customHeight="1" x14ac:dyDescent="0.2">
      <c r="A178" s="969"/>
      <c r="B178" s="911"/>
      <c r="C178" s="911"/>
      <c r="D178" s="911"/>
      <c r="E178" s="911"/>
      <c r="F178" s="911"/>
      <c r="G178" s="911"/>
      <c r="H178" s="911"/>
      <c r="I178" s="911"/>
      <c r="J178" s="911"/>
      <c r="K178" s="911"/>
      <c r="L178" s="911"/>
      <c r="M178" s="911"/>
      <c r="N178" s="911"/>
      <c r="O178" s="911"/>
      <c r="P178" s="911"/>
      <c r="Q178" s="911"/>
      <c r="R178" s="911"/>
      <c r="S178" s="911"/>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row>
    <row r="179" spans="1:52" ht="15.75" customHeight="1" x14ac:dyDescent="0.2">
      <c r="A179" s="969"/>
      <c r="B179" s="911"/>
      <c r="C179" s="911"/>
      <c r="D179" s="911"/>
      <c r="E179" s="911"/>
      <c r="F179" s="911"/>
      <c r="G179" s="911"/>
      <c r="H179" s="911"/>
      <c r="I179" s="911"/>
      <c r="J179" s="911"/>
      <c r="K179" s="911"/>
      <c r="L179" s="911"/>
      <c r="M179" s="911"/>
      <c r="N179" s="911"/>
      <c r="O179" s="911"/>
      <c r="P179" s="911"/>
      <c r="Q179" s="911"/>
      <c r="R179" s="911"/>
      <c r="S179" s="911"/>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row>
    <row r="180" spans="1:52" ht="15.75" customHeight="1" x14ac:dyDescent="0.2">
      <c r="A180" s="969"/>
      <c r="B180" s="911"/>
      <c r="C180" s="911"/>
      <c r="D180" s="911"/>
      <c r="E180" s="911"/>
      <c r="F180" s="911"/>
      <c r="G180" s="911"/>
      <c r="H180" s="911"/>
      <c r="I180" s="911"/>
      <c r="J180" s="911"/>
      <c r="K180" s="911"/>
      <c r="L180" s="911"/>
      <c r="M180" s="911"/>
      <c r="N180" s="911"/>
      <c r="O180" s="911"/>
      <c r="P180" s="911"/>
      <c r="Q180" s="911"/>
      <c r="R180" s="911"/>
      <c r="S180" s="911"/>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row>
    <row r="181" spans="1:52" ht="15.75" customHeight="1" x14ac:dyDescent="0.2">
      <c r="A181" s="969"/>
      <c r="B181" s="911"/>
      <c r="C181" s="911"/>
      <c r="D181" s="911"/>
      <c r="E181" s="911"/>
      <c r="F181" s="911"/>
      <c r="G181" s="911"/>
      <c r="H181" s="911"/>
      <c r="I181" s="911"/>
      <c r="J181" s="911"/>
      <c r="K181" s="911"/>
      <c r="L181" s="911"/>
      <c r="M181" s="911"/>
      <c r="N181" s="911"/>
      <c r="O181" s="911"/>
      <c r="P181" s="911"/>
      <c r="Q181" s="911"/>
      <c r="R181" s="911"/>
      <c r="S181" s="911"/>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row>
    <row r="182" spans="1:52" ht="15.75" customHeight="1" x14ac:dyDescent="0.2">
      <c r="A182" s="969"/>
      <c r="B182" s="911"/>
      <c r="C182" s="911"/>
      <c r="D182" s="911"/>
      <c r="E182" s="911"/>
      <c r="F182" s="911"/>
      <c r="G182" s="911"/>
      <c r="H182" s="911"/>
      <c r="I182" s="911"/>
      <c r="J182" s="911"/>
      <c r="K182" s="911"/>
      <c r="L182" s="911"/>
      <c r="M182" s="911"/>
      <c r="N182" s="911"/>
      <c r="O182" s="911"/>
      <c r="P182" s="911"/>
      <c r="Q182" s="911"/>
      <c r="R182" s="911"/>
      <c r="S182" s="911"/>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row>
    <row r="183" spans="1:52" ht="15.75" customHeight="1" x14ac:dyDescent="0.2">
      <c r="A183" s="969"/>
      <c r="B183" s="911"/>
      <c r="C183" s="911"/>
      <c r="D183" s="911"/>
      <c r="E183" s="911"/>
      <c r="F183" s="911"/>
      <c r="G183" s="911"/>
      <c r="H183" s="911"/>
      <c r="I183" s="911"/>
      <c r="J183" s="911"/>
      <c r="K183" s="911"/>
      <c r="L183" s="911"/>
      <c r="M183" s="911"/>
      <c r="N183" s="911"/>
      <c r="O183" s="911"/>
      <c r="P183" s="911"/>
      <c r="Q183" s="911"/>
      <c r="R183" s="911"/>
      <c r="S183" s="911"/>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row>
    <row r="184" spans="1:52" ht="15.75" customHeight="1" x14ac:dyDescent="0.2">
      <c r="A184" s="969"/>
      <c r="B184" s="911"/>
      <c r="C184" s="911"/>
      <c r="D184" s="911"/>
      <c r="E184" s="911"/>
      <c r="F184" s="911"/>
      <c r="G184" s="911"/>
      <c r="H184" s="911"/>
      <c r="I184" s="911"/>
      <c r="J184" s="911"/>
      <c r="K184" s="911"/>
      <c r="L184" s="911"/>
      <c r="M184" s="911"/>
      <c r="N184" s="911"/>
      <c r="O184" s="911"/>
      <c r="P184" s="911"/>
      <c r="Q184" s="911"/>
      <c r="R184" s="911"/>
      <c r="S184" s="911"/>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row>
    <row r="185" spans="1:52" ht="15.75" customHeight="1" x14ac:dyDescent="0.2">
      <c r="A185" s="969"/>
      <c r="B185" s="911"/>
      <c r="C185" s="911"/>
      <c r="D185" s="911"/>
      <c r="E185" s="911"/>
      <c r="F185" s="911"/>
      <c r="G185" s="911"/>
      <c r="H185" s="911"/>
      <c r="I185" s="911"/>
      <c r="J185" s="911"/>
      <c r="K185" s="911"/>
      <c r="L185" s="911"/>
      <c r="M185" s="911"/>
      <c r="N185" s="911"/>
      <c r="O185" s="911"/>
      <c r="P185" s="911"/>
      <c r="Q185" s="911"/>
      <c r="R185" s="911"/>
      <c r="S185" s="911"/>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row>
    <row r="186" spans="1:52" ht="15.75" customHeight="1" x14ac:dyDescent="0.2">
      <c r="A186" s="969"/>
      <c r="B186" s="911"/>
      <c r="C186" s="911"/>
      <c r="D186" s="911"/>
      <c r="E186" s="911"/>
      <c r="F186" s="911"/>
      <c r="G186" s="911"/>
      <c r="H186" s="911"/>
      <c r="I186" s="911"/>
      <c r="J186" s="911"/>
      <c r="K186" s="911"/>
      <c r="L186" s="911"/>
      <c r="M186" s="911"/>
      <c r="N186" s="911"/>
      <c r="O186" s="911"/>
      <c r="P186" s="911"/>
      <c r="Q186" s="911"/>
      <c r="R186" s="911"/>
      <c r="S186" s="911"/>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row>
    <row r="187" spans="1:52" ht="15.75" customHeight="1" x14ac:dyDescent="0.2">
      <c r="A187" s="969"/>
      <c r="B187" s="911"/>
      <c r="C187" s="911"/>
      <c r="D187" s="911"/>
      <c r="E187" s="911"/>
      <c r="F187" s="911"/>
      <c r="G187" s="911"/>
      <c r="H187" s="911"/>
      <c r="I187" s="911"/>
      <c r="J187" s="911"/>
      <c r="K187" s="911"/>
      <c r="L187" s="911"/>
      <c r="M187" s="911"/>
      <c r="N187" s="911"/>
      <c r="O187" s="911"/>
      <c r="P187" s="911"/>
      <c r="Q187" s="911"/>
      <c r="R187" s="911"/>
      <c r="S187" s="911"/>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row>
    <row r="188" spans="1:52" ht="15.75" customHeight="1" x14ac:dyDescent="0.2">
      <c r="A188" s="969"/>
      <c r="B188" s="911"/>
      <c r="C188" s="911"/>
      <c r="D188" s="911"/>
      <c r="E188" s="911"/>
      <c r="F188" s="911"/>
      <c r="G188" s="911"/>
      <c r="H188" s="911"/>
      <c r="I188" s="911"/>
      <c r="J188" s="911"/>
      <c r="K188" s="911"/>
      <c r="L188" s="911"/>
      <c r="M188" s="911"/>
      <c r="N188" s="911"/>
      <c r="O188" s="911"/>
      <c r="P188" s="911"/>
      <c r="Q188" s="911"/>
      <c r="R188" s="911"/>
      <c r="S188" s="911"/>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row>
    <row r="189" spans="1:52" ht="15.75" customHeight="1" x14ac:dyDescent="0.2">
      <c r="A189" s="969"/>
      <c r="B189" s="911"/>
      <c r="C189" s="911"/>
      <c r="D189" s="911"/>
      <c r="E189" s="911"/>
      <c r="F189" s="911"/>
      <c r="G189" s="911"/>
      <c r="H189" s="911"/>
      <c r="I189" s="911"/>
      <c r="J189" s="911"/>
      <c r="K189" s="911"/>
      <c r="L189" s="911"/>
      <c r="M189" s="911"/>
      <c r="N189" s="911"/>
      <c r="O189" s="911"/>
      <c r="P189" s="911"/>
      <c r="Q189" s="911"/>
      <c r="R189" s="911"/>
      <c r="S189" s="911"/>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row>
    <row r="190" spans="1:52" ht="15.75" customHeight="1" x14ac:dyDescent="0.2">
      <c r="A190" s="969"/>
      <c r="B190" s="911"/>
      <c r="C190" s="911"/>
      <c r="D190" s="911"/>
      <c r="E190" s="911"/>
      <c r="F190" s="911"/>
      <c r="G190" s="911"/>
      <c r="H190" s="911"/>
      <c r="I190" s="911"/>
      <c r="J190" s="911"/>
      <c r="K190" s="911"/>
      <c r="L190" s="911"/>
      <c r="M190" s="911"/>
      <c r="N190" s="911"/>
      <c r="O190" s="911"/>
      <c r="P190" s="911"/>
      <c r="Q190" s="911"/>
      <c r="R190" s="911"/>
      <c r="S190" s="911"/>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row>
    <row r="191" spans="1:52" ht="15.75" customHeight="1" x14ac:dyDescent="0.2">
      <c r="A191" s="969"/>
      <c r="B191" s="911"/>
      <c r="C191" s="911"/>
      <c r="D191" s="911"/>
      <c r="E191" s="911"/>
      <c r="F191" s="911"/>
      <c r="G191" s="911"/>
      <c r="H191" s="911"/>
      <c r="I191" s="911"/>
      <c r="J191" s="911"/>
      <c r="K191" s="911"/>
      <c r="L191" s="911"/>
      <c r="M191" s="911"/>
      <c r="N191" s="911"/>
      <c r="O191" s="911"/>
      <c r="P191" s="911"/>
      <c r="Q191" s="911"/>
      <c r="R191" s="911"/>
      <c r="S191" s="911"/>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row>
    <row r="192" spans="1:52" ht="15.75" customHeight="1" x14ac:dyDescent="0.2">
      <c r="A192" s="969"/>
      <c r="B192" s="911"/>
      <c r="C192" s="911"/>
      <c r="D192" s="911"/>
      <c r="E192" s="911"/>
      <c r="F192" s="911"/>
      <c r="G192" s="911"/>
      <c r="H192" s="911"/>
      <c r="I192" s="911"/>
      <c r="J192" s="911"/>
      <c r="K192" s="911"/>
      <c r="L192" s="911"/>
      <c r="M192" s="911"/>
      <c r="N192" s="911"/>
      <c r="O192" s="911"/>
      <c r="P192" s="911"/>
      <c r="Q192" s="911"/>
      <c r="R192" s="911"/>
      <c r="S192" s="911"/>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row>
    <row r="193" spans="1:52" ht="15.75" customHeight="1" x14ac:dyDescent="0.2">
      <c r="A193" s="969"/>
      <c r="B193" s="911"/>
      <c r="C193" s="911"/>
      <c r="D193" s="911"/>
      <c r="E193" s="911"/>
      <c r="F193" s="911"/>
      <c r="G193" s="911"/>
      <c r="H193" s="911"/>
      <c r="I193" s="911"/>
      <c r="J193" s="911"/>
      <c r="K193" s="911"/>
      <c r="L193" s="911"/>
      <c r="M193" s="911"/>
      <c r="N193" s="911"/>
      <c r="O193" s="911"/>
      <c r="P193" s="911"/>
      <c r="Q193" s="911"/>
      <c r="R193" s="911"/>
      <c r="S193" s="911"/>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row>
    <row r="194" spans="1:52" ht="15.75" customHeight="1" x14ac:dyDescent="0.2">
      <c r="A194" s="969"/>
      <c r="B194" s="911"/>
      <c r="C194" s="911"/>
      <c r="D194" s="911"/>
      <c r="E194" s="911"/>
      <c r="F194" s="911"/>
      <c r="G194" s="911"/>
      <c r="H194" s="911"/>
      <c r="I194" s="911"/>
      <c r="J194" s="911"/>
      <c r="K194" s="911"/>
      <c r="L194" s="911"/>
      <c r="M194" s="911"/>
      <c r="N194" s="911"/>
      <c r="O194" s="911"/>
      <c r="P194" s="911"/>
      <c r="Q194" s="911"/>
      <c r="R194" s="911"/>
      <c r="S194" s="911"/>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row>
    <row r="195" spans="1:52" ht="15.75" customHeight="1" x14ac:dyDescent="0.2">
      <c r="A195" s="969"/>
      <c r="B195" s="911"/>
      <c r="C195" s="911"/>
      <c r="D195" s="911"/>
      <c r="E195" s="911"/>
      <c r="F195" s="911"/>
      <c r="G195" s="911"/>
      <c r="H195" s="911"/>
      <c r="I195" s="911"/>
      <c r="J195" s="911"/>
      <c r="K195" s="911"/>
      <c r="L195" s="911"/>
      <c r="M195" s="911"/>
      <c r="N195" s="911"/>
      <c r="O195" s="911"/>
      <c r="P195" s="911"/>
      <c r="Q195" s="911"/>
      <c r="R195" s="911"/>
      <c r="S195" s="911"/>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row>
    <row r="196" spans="1:52" ht="0" hidden="1" customHeight="1" x14ac:dyDescent="0.2">
      <c r="A196" s="970"/>
      <c r="B196" s="971"/>
      <c r="C196" s="971"/>
      <c r="D196" s="971"/>
      <c r="E196" s="971"/>
      <c r="F196" s="971"/>
      <c r="G196" s="971"/>
      <c r="H196" s="971"/>
      <c r="I196" s="971"/>
      <c r="J196" s="971"/>
      <c r="K196" s="971"/>
      <c r="L196" s="971"/>
      <c r="M196" s="971"/>
      <c r="N196" s="971"/>
      <c r="O196" s="971"/>
      <c r="P196" s="971"/>
      <c r="Q196" s="971"/>
      <c r="R196" s="971"/>
      <c r="S196" s="971"/>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row>
    <row r="197" spans="1:52" ht="0" hidden="1" customHeight="1" x14ac:dyDescent="0.2">
      <c r="A197" s="970"/>
      <c r="B197" s="971"/>
      <c r="C197" s="971"/>
      <c r="D197" s="971"/>
      <c r="E197" s="971"/>
      <c r="F197" s="971"/>
      <c r="G197" s="971"/>
      <c r="H197" s="971"/>
      <c r="I197" s="971"/>
      <c r="J197" s="971"/>
      <c r="K197" s="971"/>
      <c r="L197" s="971"/>
      <c r="M197" s="971"/>
      <c r="N197" s="971"/>
      <c r="O197" s="971"/>
      <c r="P197" s="971"/>
      <c r="Q197" s="971"/>
      <c r="R197" s="971"/>
      <c r="S197" s="971"/>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row>
    <row r="198" spans="1:52" ht="0" hidden="1" customHeight="1" x14ac:dyDescent="0.2">
      <c r="A198" s="970"/>
      <c r="B198" s="971"/>
      <c r="C198" s="971"/>
      <c r="D198" s="971"/>
      <c r="E198" s="971"/>
      <c r="F198" s="971"/>
      <c r="G198" s="971"/>
      <c r="H198" s="971"/>
      <c r="I198" s="971"/>
      <c r="J198" s="971"/>
      <c r="K198" s="971"/>
      <c r="L198" s="971"/>
      <c r="M198" s="971"/>
      <c r="N198" s="971"/>
      <c r="O198" s="971"/>
      <c r="P198" s="971"/>
      <c r="Q198" s="971"/>
      <c r="R198" s="971"/>
      <c r="S198" s="971"/>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row>
    <row r="199" spans="1:52" ht="0" hidden="1" customHeight="1" x14ac:dyDescent="0.2">
      <c r="A199" s="970"/>
      <c r="B199" s="971"/>
      <c r="C199" s="971"/>
      <c r="D199" s="971"/>
      <c r="E199" s="971"/>
      <c r="F199" s="971"/>
      <c r="G199" s="971"/>
      <c r="H199" s="971"/>
      <c r="I199" s="971"/>
      <c r="J199" s="971"/>
      <c r="K199" s="971"/>
      <c r="L199" s="971"/>
      <c r="M199" s="971"/>
      <c r="N199" s="971"/>
      <c r="O199" s="971"/>
      <c r="P199" s="971"/>
      <c r="Q199" s="971"/>
      <c r="R199" s="971"/>
      <c r="S199" s="971"/>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row>
    <row r="200" spans="1:52" ht="0" hidden="1" customHeight="1" x14ac:dyDescent="0.2">
      <c r="A200" s="970"/>
      <c r="B200" s="971"/>
      <c r="C200" s="971"/>
      <c r="D200" s="971"/>
      <c r="E200" s="971"/>
      <c r="F200" s="971"/>
      <c r="G200" s="971"/>
      <c r="H200" s="971"/>
      <c r="I200" s="971"/>
      <c r="J200" s="971"/>
      <c r="K200" s="971"/>
      <c r="L200" s="971"/>
      <c r="M200" s="971"/>
      <c r="N200" s="971"/>
      <c r="O200" s="971"/>
      <c r="P200" s="971"/>
      <c r="Q200" s="971"/>
      <c r="R200" s="971"/>
      <c r="S200" s="971"/>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row>
  </sheetData>
  <sheetProtection formatCells="0" formatColumns="0" formatRows="0" autoFilter="0"/>
  <pageMargins left="0.75" right="0.75" top="1" bottom="1" header="0.5" footer="0.5"/>
  <pageSetup scale="88" orientation="portrait"/>
  <headerFooter alignWithMargins="0">
    <oddHeader>&amp;CSpring 2018 Exam 5 Make-Up</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Z200"/>
  <sheetViews>
    <sheetView workbookViewId="0"/>
  </sheetViews>
  <sheetFormatPr defaultColWidth="0" defaultRowHeight="0" customHeight="1" zeroHeight="1" x14ac:dyDescent="0.2"/>
  <cols>
    <col min="1" max="6" width="12.5" style="6" customWidth="1"/>
    <col min="7" max="7" width="8" style="6" customWidth="1"/>
    <col min="8" max="8" width="9.875" style="6" customWidth="1"/>
    <col min="9" max="49" width="8" style="6" customWidth="1"/>
    <col min="50" max="16384" width="8" style="6" hidden="1"/>
  </cols>
  <sheetData>
    <row r="1" spans="1:52" ht="15.75" customHeight="1" thickBot="1" x14ac:dyDescent="0.25">
      <c r="A1" s="1">
        <v>24</v>
      </c>
      <c r="B1" s="2"/>
      <c r="C1" s="3"/>
      <c r="D1" s="3"/>
      <c r="E1" s="3"/>
      <c r="F1" s="3"/>
      <c r="G1" s="3"/>
      <c r="H1" s="3"/>
      <c r="I1" s="4"/>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row>
    <row r="2" spans="1:52" ht="15.75" customHeight="1" x14ac:dyDescent="0.2">
      <c r="A2" s="815" t="s">
        <v>0</v>
      </c>
      <c r="B2" s="821"/>
      <c r="C2" s="821"/>
      <c r="D2" s="821"/>
      <c r="E2" s="821"/>
      <c r="F2" s="821"/>
      <c r="G2" s="821"/>
      <c r="H2" s="8"/>
      <c r="I2" s="9"/>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row>
    <row r="3" spans="1:52" ht="15.75" customHeight="1" x14ac:dyDescent="0.2">
      <c r="A3" s="818">
        <v>2</v>
      </c>
      <c r="B3" s="821"/>
      <c r="C3" s="821"/>
      <c r="D3" s="821"/>
      <c r="E3" s="821"/>
      <c r="F3" s="821"/>
      <c r="G3" s="821"/>
      <c r="H3" s="8"/>
      <c r="I3" s="9"/>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row>
    <row r="4" spans="1:52" ht="15.75" customHeight="1" x14ac:dyDescent="0.2">
      <c r="A4" s="818"/>
      <c r="B4" s="820" t="s">
        <v>692</v>
      </c>
      <c r="C4" s="821"/>
      <c r="D4" s="821"/>
      <c r="E4" s="821"/>
      <c r="F4" s="821"/>
      <c r="G4" s="973"/>
      <c r="H4" s="8"/>
      <c r="I4" s="9"/>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row>
    <row r="5" spans="1:52" ht="15.75" customHeight="1" thickBot="1" x14ac:dyDescent="0.25">
      <c r="A5" s="818"/>
      <c r="B5" s="820"/>
      <c r="C5" s="821"/>
      <c r="D5" s="821"/>
      <c r="E5" s="821"/>
      <c r="F5" s="821"/>
      <c r="G5" s="973"/>
      <c r="H5" s="8"/>
      <c r="I5" s="9"/>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row>
    <row r="6" spans="1:52" ht="15.75" customHeight="1" x14ac:dyDescent="0.2">
      <c r="A6" s="818"/>
      <c r="B6" s="974"/>
      <c r="C6" s="975"/>
      <c r="D6" s="975"/>
      <c r="E6" s="975"/>
      <c r="F6" s="975"/>
      <c r="G6" s="975"/>
      <c r="H6" s="976" t="s">
        <v>287</v>
      </c>
      <c r="I6" s="9"/>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row>
    <row r="7" spans="1:52" ht="15.75" customHeight="1" x14ac:dyDescent="0.2">
      <c r="A7" s="818"/>
      <c r="B7" s="977" t="s">
        <v>135</v>
      </c>
      <c r="C7" s="978" t="s">
        <v>733</v>
      </c>
      <c r="D7" s="978"/>
      <c r="E7" s="978"/>
      <c r="F7" s="978"/>
      <c r="G7" s="978"/>
      <c r="H7" s="979" t="s">
        <v>571</v>
      </c>
      <c r="I7" s="9"/>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row>
    <row r="8" spans="1:52" ht="15.75" customHeight="1" thickBot="1" x14ac:dyDescent="0.25">
      <c r="A8" s="818"/>
      <c r="B8" s="980" t="s">
        <v>83</v>
      </c>
      <c r="C8" s="981">
        <v>12</v>
      </c>
      <c r="D8" s="981">
        <v>24</v>
      </c>
      <c r="E8" s="981">
        <v>36</v>
      </c>
      <c r="F8" s="981">
        <v>48</v>
      </c>
      <c r="G8" s="981">
        <v>60</v>
      </c>
      <c r="H8" s="982" t="s">
        <v>734</v>
      </c>
      <c r="I8" s="9"/>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row>
    <row r="9" spans="1:52" ht="15.75" customHeight="1" x14ac:dyDescent="0.2">
      <c r="A9" s="818"/>
      <c r="B9" s="983">
        <v>2013</v>
      </c>
      <c r="C9" s="984">
        <v>420</v>
      </c>
      <c r="D9" s="985">
        <v>1983</v>
      </c>
      <c r="E9" s="985">
        <v>2975</v>
      </c>
      <c r="F9" s="985">
        <v>3571</v>
      </c>
      <c r="G9" s="986">
        <v>3750</v>
      </c>
      <c r="H9" s="976">
        <v>38000</v>
      </c>
      <c r="I9" s="9"/>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row>
    <row r="10" spans="1:52" ht="15.75" customHeight="1" x14ac:dyDescent="0.2">
      <c r="A10" s="818"/>
      <c r="B10" s="987">
        <v>2014</v>
      </c>
      <c r="C10" s="988">
        <v>417</v>
      </c>
      <c r="D10" s="989">
        <v>2220</v>
      </c>
      <c r="E10" s="989">
        <v>3333</v>
      </c>
      <c r="F10" s="989">
        <v>4000</v>
      </c>
      <c r="G10" s="990"/>
      <c r="H10" s="979">
        <v>43000</v>
      </c>
      <c r="I10" s="9"/>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row>
    <row r="11" spans="1:52" ht="15.75" customHeight="1" x14ac:dyDescent="0.2">
      <c r="A11" s="818"/>
      <c r="B11" s="987">
        <v>2015</v>
      </c>
      <c r="C11" s="988">
        <v>477</v>
      </c>
      <c r="D11" s="989">
        <v>2336</v>
      </c>
      <c r="E11" s="989">
        <v>3500</v>
      </c>
      <c r="F11" s="991"/>
      <c r="G11" s="990"/>
      <c r="H11" s="979">
        <v>45000</v>
      </c>
      <c r="I11" s="9"/>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row>
    <row r="12" spans="1:52" ht="15.75" customHeight="1" x14ac:dyDescent="0.2">
      <c r="A12" s="818"/>
      <c r="B12" s="987">
        <v>2016</v>
      </c>
      <c r="C12" s="988">
        <v>494</v>
      </c>
      <c r="D12" s="989">
        <v>2500</v>
      </c>
      <c r="E12" s="991"/>
      <c r="F12" s="991"/>
      <c r="G12" s="990"/>
      <c r="H12" s="979">
        <v>48000</v>
      </c>
      <c r="I12" s="9"/>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row>
    <row r="13" spans="1:52" ht="15.75" customHeight="1" thickBot="1" x14ac:dyDescent="0.25">
      <c r="A13" s="818"/>
      <c r="B13" s="992">
        <v>2017</v>
      </c>
      <c r="C13" s="993">
        <v>1250</v>
      </c>
      <c r="D13" s="994"/>
      <c r="E13" s="994"/>
      <c r="F13" s="994"/>
      <c r="G13" s="995"/>
      <c r="H13" s="982">
        <v>50000</v>
      </c>
      <c r="I13" s="9"/>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row>
    <row r="14" spans="1:52" ht="15.75" customHeight="1" thickBot="1" x14ac:dyDescent="0.25">
      <c r="A14" s="818"/>
      <c r="B14" s="996"/>
      <c r="C14" s="997"/>
      <c r="D14" s="997"/>
      <c r="E14" s="997"/>
      <c r="F14" s="998"/>
      <c r="G14" s="991"/>
      <c r="H14" s="8"/>
      <c r="I14" s="9"/>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row>
    <row r="15" spans="1:52" ht="15.75" customHeight="1" x14ac:dyDescent="0.2">
      <c r="A15" s="818"/>
      <c r="B15" s="999">
        <v>1.0149999999999999</v>
      </c>
      <c r="C15" s="1000" t="s">
        <v>740</v>
      </c>
      <c r="D15" s="1000"/>
      <c r="E15" s="1001"/>
      <c r="F15" s="821"/>
      <c r="G15" s="973"/>
      <c r="H15" s="8"/>
      <c r="I15" s="9"/>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row>
    <row r="16" spans="1:52" ht="15.75" customHeight="1" thickBot="1" x14ac:dyDescent="0.25">
      <c r="A16" s="818"/>
      <c r="B16" s="1002">
        <v>0.1</v>
      </c>
      <c r="C16" s="1003" t="s">
        <v>742</v>
      </c>
      <c r="D16" s="1003"/>
      <c r="E16" s="1004"/>
      <c r="F16" s="821"/>
      <c r="G16" s="973"/>
      <c r="H16" s="8"/>
      <c r="I16" s="9"/>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row>
    <row r="17" spans="1:52" ht="15.75" customHeight="1" x14ac:dyDescent="0.2">
      <c r="A17" s="818"/>
      <c r="B17" s="820"/>
      <c r="C17" s="821"/>
      <c r="D17" s="821"/>
      <c r="E17" s="821"/>
      <c r="F17" s="821"/>
      <c r="G17" s="973"/>
      <c r="H17" s="8"/>
      <c r="I17" s="9"/>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row>
    <row r="18" spans="1:52" ht="15.75" customHeight="1" x14ac:dyDescent="0.2">
      <c r="A18" s="818">
        <v>0.75</v>
      </c>
      <c r="B18" s="821" t="s">
        <v>46</v>
      </c>
      <c r="C18" s="821"/>
      <c r="D18" s="821"/>
      <c r="E18" s="821"/>
      <c r="F18" s="821"/>
      <c r="G18" s="973"/>
      <c r="H18" s="8"/>
      <c r="I18" s="9"/>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row>
    <row r="19" spans="1:52" ht="15.75" customHeight="1" x14ac:dyDescent="0.2">
      <c r="A19" s="818"/>
      <c r="B19" s="1005" t="s">
        <v>744</v>
      </c>
      <c r="C19" s="821"/>
      <c r="D19" s="821"/>
      <c r="E19" s="821"/>
      <c r="F19" s="821"/>
      <c r="G19" s="973"/>
      <c r="H19" s="8"/>
      <c r="I19" s="9"/>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row>
    <row r="20" spans="1:52" ht="15.75" customHeight="1" x14ac:dyDescent="0.2">
      <c r="A20" s="818"/>
      <c r="B20" s="1005"/>
      <c r="C20" s="821"/>
      <c r="D20" s="821"/>
      <c r="E20" s="821"/>
      <c r="F20" s="821"/>
      <c r="G20" s="973"/>
      <c r="H20" s="8"/>
      <c r="I20" s="9"/>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row>
    <row r="21" spans="1:52" ht="15.75" customHeight="1" x14ac:dyDescent="0.2">
      <c r="A21" s="818">
        <v>0.75</v>
      </c>
      <c r="B21" s="821" t="s">
        <v>21</v>
      </c>
      <c r="C21" s="821"/>
      <c r="D21" s="821"/>
      <c r="E21" s="821"/>
      <c r="F21" s="821"/>
      <c r="G21" s="821"/>
      <c r="H21" s="8"/>
      <c r="I21" s="9"/>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row>
    <row r="22" spans="1:52" ht="15.75" customHeight="1" x14ac:dyDescent="0.2">
      <c r="A22" s="818"/>
      <c r="B22" s="821" t="s">
        <v>748</v>
      </c>
      <c r="C22" s="821"/>
      <c r="D22" s="821"/>
      <c r="E22" s="821"/>
      <c r="F22" s="821"/>
      <c r="G22" s="821"/>
      <c r="H22" s="8"/>
      <c r="I22" s="9"/>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row>
    <row r="23" spans="1:52" ht="15.75" customHeight="1" x14ac:dyDescent="0.2">
      <c r="A23" s="818"/>
      <c r="B23" s="821"/>
      <c r="C23" s="821"/>
      <c r="D23" s="821"/>
      <c r="E23" s="821"/>
      <c r="F23" s="821"/>
      <c r="G23" s="821"/>
      <c r="H23" s="8"/>
      <c r="I23" s="9"/>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row>
    <row r="24" spans="1:52" ht="15.75" customHeight="1" x14ac:dyDescent="0.2">
      <c r="A24" s="818">
        <v>0.5</v>
      </c>
      <c r="B24" s="821" t="s">
        <v>52</v>
      </c>
      <c r="C24" s="821"/>
      <c r="D24" s="1006"/>
      <c r="E24" s="1007"/>
      <c r="F24" s="1007"/>
      <c r="G24" s="1008"/>
      <c r="H24" s="8"/>
      <c r="I24" s="9"/>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row>
    <row r="25" spans="1:52" ht="15.75" customHeight="1" x14ac:dyDescent="0.2">
      <c r="A25" s="818"/>
      <c r="B25" s="821" t="s">
        <v>749</v>
      </c>
      <c r="C25" s="821"/>
      <c r="D25" s="1006"/>
      <c r="E25" s="1007"/>
      <c r="F25" s="1007"/>
      <c r="G25" s="1008"/>
      <c r="H25" s="8"/>
      <c r="I25" s="9"/>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row>
    <row r="26" spans="1:52" ht="15.75" customHeight="1" x14ac:dyDescent="0.2">
      <c r="A26" s="818"/>
      <c r="B26" s="821" t="s">
        <v>750</v>
      </c>
      <c r="C26" s="821"/>
      <c r="D26" s="1006"/>
      <c r="E26" s="1007"/>
      <c r="F26" s="1007"/>
      <c r="G26" s="1008"/>
      <c r="H26" s="8"/>
      <c r="I26" s="9"/>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row>
    <row r="27" spans="1:52" ht="15.75" customHeight="1" thickBot="1" x14ac:dyDescent="0.25">
      <c r="A27" s="1009"/>
      <c r="B27" s="30"/>
      <c r="C27" s="30"/>
      <c r="D27" s="30"/>
      <c r="E27" s="30"/>
      <c r="F27" s="30"/>
      <c r="G27" s="30"/>
      <c r="H27" s="30"/>
      <c r="I27" s="31"/>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row>
    <row r="28" spans="1:52" ht="15.75" customHeight="1" x14ac:dyDescent="0.2">
      <c r="A28" s="1010"/>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row>
    <row r="29" spans="1:52" ht="15.75" customHeight="1" x14ac:dyDescent="0.2">
      <c r="A29" s="1010" t="s">
        <v>6</v>
      </c>
      <c r="B29" s="1011"/>
      <c r="C29" s="1012"/>
      <c r="D29" s="1012"/>
      <c r="E29" s="1012"/>
      <c r="F29" s="1012"/>
      <c r="G29" s="1012"/>
      <c r="H29" s="1013" t="s">
        <v>287</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row>
    <row r="30" spans="1:52" ht="15.75" customHeight="1" x14ac:dyDescent="0.2">
      <c r="A30" s="1010"/>
      <c r="B30" s="1011" t="s">
        <v>135</v>
      </c>
      <c r="C30" s="1012" t="s">
        <v>733</v>
      </c>
      <c r="D30" s="1012"/>
      <c r="E30" s="1012"/>
      <c r="F30" s="1012"/>
      <c r="G30" s="1012"/>
      <c r="H30" s="1013" t="s">
        <v>571</v>
      </c>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row>
    <row r="31" spans="1:52" ht="15.75" customHeight="1" x14ac:dyDescent="0.2">
      <c r="A31" s="1010"/>
      <c r="B31" s="1011" t="s">
        <v>83</v>
      </c>
      <c r="C31" s="1014">
        <v>12</v>
      </c>
      <c r="D31" s="1014">
        <v>24</v>
      </c>
      <c r="E31" s="1014">
        <v>36</v>
      </c>
      <c r="F31" s="1014">
        <v>48</v>
      </c>
      <c r="G31" s="1014">
        <v>60</v>
      </c>
      <c r="H31" s="1013" t="s">
        <v>734</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row>
    <row r="32" spans="1:52" ht="15.75" customHeight="1" x14ac:dyDescent="0.2">
      <c r="A32" s="1010"/>
      <c r="B32" s="1011">
        <v>2013</v>
      </c>
      <c r="C32" s="1015">
        <v>420</v>
      </c>
      <c r="D32" s="1015">
        <v>1983</v>
      </c>
      <c r="E32" s="1015">
        <v>2975</v>
      </c>
      <c r="F32" s="1015">
        <v>3571</v>
      </c>
      <c r="G32" s="1015">
        <v>3750</v>
      </c>
      <c r="H32" s="1013">
        <v>38000</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row>
    <row r="33" spans="1:52" ht="15.75" customHeight="1" x14ac:dyDescent="0.2">
      <c r="A33" s="1010"/>
      <c r="B33" s="1011">
        <v>2014</v>
      </c>
      <c r="C33" s="1015">
        <v>417</v>
      </c>
      <c r="D33" s="1015">
        <v>2220</v>
      </c>
      <c r="E33" s="1015">
        <v>3333</v>
      </c>
      <c r="F33" s="1015">
        <v>4000</v>
      </c>
      <c r="G33" s="1016"/>
      <c r="H33" s="1013">
        <v>43000</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row>
    <row r="34" spans="1:52" ht="15.75" customHeight="1" x14ac:dyDescent="0.2">
      <c r="A34" s="1010"/>
      <c r="B34" s="1011">
        <v>2015</v>
      </c>
      <c r="C34" s="1015">
        <v>477</v>
      </c>
      <c r="D34" s="1015">
        <v>2336</v>
      </c>
      <c r="E34" s="1015">
        <v>3500</v>
      </c>
      <c r="F34" s="1016"/>
      <c r="G34" s="1016"/>
      <c r="H34" s="1013">
        <v>45000</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row>
    <row r="35" spans="1:52" ht="15.75" customHeight="1" x14ac:dyDescent="0.2">
      <c r="A35" s="1010"/>
      <c r="B35" s="1011">
        <v>2016</v>
      </c>
      <c r="C35" s="1015">
        <v>494</v>
      </c>
      <c r="D35" s="1015">
        <v>2500</v>
      </c>
      <c r="E35" s="1016"/>
      <c r="F35" s="1016"/>
      <c r="G35" s="1016"/>
      <c r="H35" s="1013">
        <v>48000</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row>
    <row r="36" spans="1:52" ht="15.75" customHeight="1" x14ac:dyDescent="0.2">
      <c r="A36" s="1010"/>
      <c r="B36" s="1011">
        <v>2017</v>
      </c>
      <c r="C36" s="1015">
        <v>1250</v>
      </c>
      <c r="D36" s="1016"/>
      <c r="E36" s="1016"/>
      <c r="F36" s="1016"/>
      <c r="G36" s="1016"/>
      <c r="H36" s="1013">
        <v>50000</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row>
    <row r="37" spans="1:52" ht="15.75" customHeight="1" x14ac:dyDescent="0.2">
      <c r="A37" s="1010"/>
      <c r="B37" s="1017" t="s">
        <v>135</v>
      </c>
      <c r="C37" s="1018" t="s">
        <v>751</v>
      </c>
      <c r="D37" s="1018"/>
      <c r="E37" s="1018"/>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row>
    <row r="38" spans="1:52" ht="15.75" customHeight="1" x14ac:dyDescent="0.2">
      <c r="A38" s="1010"/>
      <c r="B38" s="1019" t="s">
        <v>83</v>
      </c>
      <c r="C38" s="1020" t="s">
        <v>183</v>
      </c>
      <c r="D38" s="1021" t="s">
        <v>184</v>
      </c>
      <c r="E38" s="1021" t="s">
        <v>587</v>
      </c>
      <c r="F38" s="5" t="s">
        <v>731</v>
      </c>
      <c r="G38" s="5" t="s">
        <v>732</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row>
    <row r="39" spans="1:52" ht="15.75" customHeight="1" x14ac:dyDescent="0.2">
      <c r="A39" s="1010"/>
      <c r="B39" s="1019">
        <v>2013</v>
      </c>
      <c r="C39" s="1022">
        <f>D32/C32</f>
        <v>4.7214285714285715</v>
      </c>
      <c r="D39" s="1022">
        <f>E32/D32</f>
        <v>1.5002521432173475</v>
      </c>
      <c r="E39" s="1022">
        <f>F32/E32</f>
        <v>1.2003361344537815</v>
      </c>
      <c r="F39" s="1022">
        <f>G32/F32</f>
        <v>1.0501260151218146</v>
      </c>
      <c r="G39" s="5" t="s">
        <v>752</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row>
    <row r="40" spans="1:52" ht="15.75" customHeight="1" x14ac:dyDescent="0.2">
      <c r="A40" s="1010"/>
      <c r="B40" s="1019">
        <v>2014</v>
      </c>
      <c r="C40" s="1022">
        <f>D33/C33</f>
        <v>5.3237410071942444</v>
      </c>
      <c r="D40" s="1022">
        <f>E33/D33</f>
        <v>1.5013513513513514</v>
      </c>
      <c r="E40" s="1022">
        <f>F33/E33</f>
        <v>1.2001200120012001</v>
      </c>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row>
    <row r="41" spans="1:52" ht="15.75" customHeight="1" x14ac:dyDescent="0.2">
      <c r="A41" s="1010"/>
      <c r="B41" s="1019">
        <v>2015</v>
      </c>
      <c r="C41" s="1022">
        <f>D34/C34</f>
        <v>4.8972746331236898</v>
      </c>
      <c r="D41" s="1022">
        <f>E34/D34</f>
        <v>1.4982876712328768</v>
      </c>
      <c r="E41" s="1023"/>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row>
    <row r="42" spans="1:52" ht="15.75" customHeight="1" x14ac:dyDescent="0.2">
      <c r="A42" s="1010"/>
      <c r="B42" s="1019">
        <v>2016</v>
      </c>
      <c r="C42" s="1022">
        <f>D35/C35</f>
        <v>5.0607287449392713</v>
      </c>
      <c r="D42" s="1023"/>
      <c r="E42" s="1023"/>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row>
    <row r="43" spans="1:52" ht="15.75" customHeight="1" x14ac:dyDescent="0.2">
      <c r="A43" s="1010"/>
      <c r="B43" s="82" t="s">
        <v>287</v>
      </c>
      <c r="C43" s="191">
        <f>AVERAGE(C39:C42)</f>
        <v>5.0007932391714442</v>
      </c>
      <c r="D43" s="191">
        <f>AVERAGE(D39:D42)</f>
        <v>1.4999637219338586</v>
      </c>
      <c r="E43" s="191">
        <f>AVERAGE(E39:E42)</f>
        <v>1.2002280732274908</v>
      </c>
      <c r="F43" s="191">
        <f>AVERAGE(F39:F42)</f>
        <v>1.0501260151218146</v>
      </c>
      <c r="G43" s="191">
        <f>B15</f>
        <v>1.0149999999999999</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row>
    <row r="44" spans="1:52" ht="15.75" customHeight="1" x14ac:dyDescent="0.2">
      <c r="A44" s="1010"/>
      <c r="B44" s="82" t="s">
        <v>753</v>
      </c>
      <c r="C44" s="195">
        <f>PRODUCT(C43:G43)</f>
        <v>9.5960144781417824</v>
      </c>
      <c r="D44" s="195">
        <f>PRODUCT(D43:H43)</f>
        <v>1.9188984665424194</v>
      </c>
      <c r="E44" s="195">
        <f>PRODUCT(E43:I43)</f>
        <v>1.2792965846323541</v>
      </c>
      <c r="F44" s="195">
        <f>PRODUCT(F43:J43)</f>
        <v>1.0658779053486418</v>
      </c>
      <c r="G44" s="195">
        <f>PRODUCT(G43:K43)</f>
        <v>1.0149999999999999</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row>
    <row r="45" spans="1:52" ht="15.75" customHeight="1" x14ac:dyDescent="0.2">
      <c r="A45" s="1010"/>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row>
    <row r="46" spans="1:52" ht="15.75" customHeight="1" x14ac:dyDescent="0.2">
      <c r="A46" s="1010"/>
      <c r="B46" s="1024" t="s">
        <v>754</v>
      </c>
      <c r="C46" s="1025">
        <f>C44*C36</f>
        <v>11995.018097677228</v>
      </c>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row>
    <row r="47" spans="1:52" ht="15.75" customHeight="1" x14ac:dyDescent="0.2">
      <c r="A47" s="1010"/>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row>
    <row r="48" spans="1:52" ht="15.75" customHeight="1" x14ac:dyDescent="0.2">
      <c r="A48" s="1010"/>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row>
    <row r="49" spans="1:52" ht="15.75" customHeight="1" x14ac:dyDescent="0.2">
      <c r="A49" s="1010" t="s">
        <v>8</v>
      </c>
      <c r="B49" s="1011" t="s">
        <v>135</v>
      </c>
      <c r="C49" s="5" t="s">
        <v>755</v>
      </c>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row>
    <row r="50" spans="1:52" ht="15.75" customHeight="1" x14ac:dyDescent="0.2">
      <c r="A50" s="1010"/>
      <c r="B50" s="1011" t="s">
        <v>83</v>
      </c>
      <c r="C50" s="5" t="s">
        <v>756</v>
      </c>
      <c r="D50" s="5" t="s">
        <v>194</v>
      </c>
      <c r="E50" s="5" t="s">
        <v>757</v>
      </c>
      <c r="F50" s="5" t="s">
        <v>195</v>
      </c>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row>
    <row r="51" spans="1:52" ht="15.75" customHeight="1" x14ac:dyDescent="0.2">
      <c r="A51" s="1010"/>
      <c r="B51" s="1011">
        <v>2013</v>
      </c>
      <c r="C51" s="1026">
        <f>G9</f>
        <v>3750</v>
      </c>
      <c r="D51" s="1027">
        <f>1/G44</f>
        <v>0.98522167487684742</v>
      </c>
      <c r="E51" s="1028">
        <f>$B$16</f>
        <v>0.1</v>
      </c>
      <c r="F51" s="1029">
        <f>C51+E51*(1-D51)*H32</f>
        <v>3806.1576354679796</v>
      </c>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row>
    <row r="52" spans="1:52" ht="15.75" customHeight="1" x14ac:dyDescent="0.2">
      <c r="A52" s="1010"/>
      <c r="B52" s="1011">
        <v>2014</v>
      </c>
      <c r="C52" s="1026">
        <f>F10</f>
        <v>4000</v>
      </c>
      <c r="D52" s="1027">
        <f>1/F44</f>
        <v>0.93819376026272583</v>
      </c>
      <c r="E52" s="1028">
        <f>$B$16</f>
        <v>0.1</v>
      </c>
      <c r="F52" s="1029">
        <f>C52+E52*(1-D52)*H33</f>
        <v>4265.7668308702787</v>
      </c>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row>
    <row r="53" spans="1:52" ht="15.75" customHeight="1" x14ac:dyDescent="0.2">
      <c r="A53" s="1010"/>
      <c r="B53" s="1011">
        <v>2015</v>
      </c>
      <c r="C53" s="1026">
        <f>E11</f>
        <v>3500</v>
      </c>
      <c r="D53" s="1027">
        <f>1/E44</f>
        <v>0.781679566734231</v>
      </c>
      <c r="E53" s="1028">
        <f>$B$16</f>
        <v>0.1</v>
      </c>
      <c r="F53" s="1029">
        <f>C53+E53*(1-D53)*H34</f>
        <v>4482.4419496959608</v>
      </c>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row>
    <row r="54" spans="1:52" ht="15.75" customHeight="1" x14ac:dyDescent="0.2">
      <c r="A54" s="1010"/>
      <c r="B54" s="1011">
        <v>2016</v>
      </c>
      <c r="C54" s="1026">
        <f>D12</f>
        <v>2500</v>
      </c>
      <c r="D54" s="1027">
        <f>1/D44</f>
        <v>0.52113231493788048</v>
      </c>
      <c r="E54" s="1028">
        <f>$B$16</f>
        <v>0.1</v>
      </c>
      <c r="F54" s="1029">
        <f>C54+E54*(1-D54)*H35</f>
        <v>4798.5648882981741</v>
      </c>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row>
    <row r="55" spans="1:52" ht="15.75" customHeight="1" x14ac:dyDescent="0.2">
      <c r="A55" s="1010"/>
      <c r="B55" s="1011">
        <v>2017</v>
      </c>
      <c r="C55" s="1026">
        <f>C13</f>
        <v>1250</v>
      </c>
      <c r="D55" s="1027">
        <f>1/C44</f>
        <v>0.10420993030782137</v>
      </c>
      <c r="E55" s="1028">
        <f>$B$16</f>
        <v>0.1</v>
      </c>
      <c r="F55" s="1029">
        <f>C55+E55*(1-D55)*H36</f>
        <v>5728.950348460894</v>
      </c>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row>
    <row r="56" spans="1:52" ht="15.75" customHeight="1" x14ac:dyDescent="0.2">
      <c r="A56" s="1010"/>
      <c r="B56" s="5"/>
      <c r="C56" s="5"/>
      <c r="D56" s="1027"/>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row>
    <row r="57" spans="1:52" ht="15.75" customHeight="1" x14ac:dyDescent="0.2">
      <c r="A57" s="1010"/>
      <c r="B57" s="1024" t="s">
        <v>754</v>
      </c>
      <c r="C57" s="1025">
        <f>F55</f>
        <v>5728.950348460894</v>
      </c>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row>
    <row r="58" spans="1:52" ht="15.75" customHeight="1" x14ac:dyDescent="0.2">
      <c r="A58" s="1010"/>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row>
    <row r="59" spans="1:52" ht="15.75" customHeight="1" x14ac:dyDescent="0.2">
      <c r="A59" s="1010" t="s">
        <v>11</v>
      </c>
      <c r="B59" s="5" t="s">
        <v>758</v>
      </c>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row>
    <row r="60" spans="1:52" ht="15.75" customHeight="1" x14ac:dyDescent="0.2">
      <c r="A60" s="1010"/>
      <c r="B60" s="5" t="s">
        <v>759</v>
      </c>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row>
    <row r="61" spans="1:52" ht="15.75" customHeight="1" x14ac:dyDescent="0.2">
      <c r="A61" s="1010"/>
      <c r="B61" s="5" t="s">
        <v>760</v>
      </c>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row>
    <row r="62" spans="1:52" ht="15.75" customHeight="1" x14ac:dyDescent="0.2">
      <c r="A62" s="1010"/>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row>
    <row r="63" spans="1:52" ht="15.75" customHeight="1" x14ac:dyDescent="0.2">
      <c r="A63" s="1010"/>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row>
    <row r="64" spans="1:52" ht="15.75" customHeight="1" x14ac:dyDescent="0.2">
      <c r="A64" s="1010"/>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row>
    <row r="65" spans="1:52" ht="15.75" customHeight="1" x14ac:dyDescent="0.2">
      <c r="A65" s="1010"/>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row>
    <row r="66" spans="1:52" ht="15.75" customHeight="1" x14ac:dyDescent="0.2">
      <c r="A66" s="1010"/>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row>
    <row r="67" spans="1:52" ht="15.75" customHeight="1" x14ac:dyDescent="0.2">
      <c r="A67" s="1010"/>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row>
    <row r="68" spans="1:52" ht="15.75" customHeight="1" x14ac:dyDescent="0.2">
      <c r="A68" s="1010"/>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row>
    <row r="69" spans="1:52" ht="15.75" customHeight="1" x14ac:dyDescent="0.2">
      <c r="A69" s="1010"/>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row>
    <row r="70" spans="1:52" ht="15.75" customHeight="1" x14ac:dyDescent="0.2">
      <c r="A70" s="1010"/>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row>
    <row r="71" spans="1:52" ht="15.75" customHeight="1" x14ac:dyDescent="0.2">
      <c r="A71" s="1010"/>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row>
    <row r="72" spans="1:52" ht="15.75" customHeight="1" x14ac:dyDescent="0.2">
      <c r="A72" s="1010"/>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row>
    <row r="73" spans="1:52" ht="15.75" customHeight="1" x14ac:dyDescent="0.2">
      <c r="A73" s="1010"/>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row>
    <row r="74" spans="1:52" ht="15.75" customHeight="1" x14ac:dyDescent="0.2">
      <c r="A74" s="1010"/>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row>
    <row r="75" spans="1:52" ht="15.75" customHeight="1" x14ac:dyDescent="0.2">
      <c r="A75" s="1010"/>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row>
    <row r="76" spans="1:52" ht="15.75" customHeight="1" x14ac:dyDescent="0.2">
      <c r="A76" s="1010"/>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row>
    <row r="77" spans="1:52" ht="15.75" customHeight="1" x14ac:dyDescent="0.2">
      <c r="A77" s="1010"/>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row>
    <row r="78" spans="1:52" ht="15.75" customHeight="1" x14ac:dyDescent="0.2">
      <c r="A78" s="1010"/>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row>
    <row r="79" spans="1:52" ht="15.75" customHeight="1" x14ac:dyDescent="0.2">
      <c r="A79" s="1010"/>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row>
    <row r="80" spans="1:52" ht="15.75" customHeight="1" x14ac:dyDescent="0.2">
      <c r="A80" s="1010"/>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row>
    <row r="81" spans="1:52" ht="15.75" customHeight="1" x14ac:dyDescent="0.2">
      <c r="A81" s="1010"/>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row>
    <row r="82" spans="1:52" ht="15.75" customHeight="1" x14ac:dyDescent="0.2">
      <c r="A82" s="1010"/>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row>
    <row r="83" spans="1:52" ht="15.75" customHeight="1" x14ac:dyDescent="0.2">
      <c r="A83" s="1010"/>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row>
    <row r="84" spans="1:52" ht="15.75" customHeight="1" x14ac:dyDescent="0.2">
      <c r="A84" s="1010"/>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row>
    <row r="85" spans="1:52" ht="15.75" customHeight="1" x14ac:dyDescent="0.2">
      <c r="A85" s="1010"/>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row>
    <row r="86" spans="1:52" ht="15.75" customHeight="1" x14ac:dyDescent="0.2">
      <c r="A86" s="1010"/>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row>
    <row r="87" spans="1:52" ht="15.75" customHeight="1" x14ac:dyDescent="0.2">
      <c r="A87" s="1010"/>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row>
    <row r="88" spans="1:52" ht="15.75" customHeight="1" x14ac:dyDescent="0.2">
      <c r="A88" s="1010"/>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row>
    <row r="89" spans="1:52" ht="15.75" customHeight="1" x14ac:dyDescent="0.2">
      <c r="A89" s="1010"/>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row>
    <row r="90" spans="1:52" ht="15.75" customHeight="1" x14ac:dyDescent="0.2">
      <c r="A90" s="1010"/>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row>
    <row r="91" spans="1:52" ht="15.75" customHeight="1" x14ac:dyDescent="0.2">
      <c r="A91" s="1010"/>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row>
    <row r="92" spans="1:52" ht="15.75" customHeight="1" x14ac:dyDescent="0.2">
      <c r="A92" s="1010"/>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row>
    <row r="93" spans="1:52" ht="15.75" customHeight="1" x14ac:dyDescent="0.2">
      <c r="A93" s="1010"/>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row>
    <row r="94" spans="1:52" ht="15.75" customHeight="1" x14ac:dyDescent="0.2">
      <c r="A94" s="1010"/>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row>
    <row r="95" spans="1:52" ht="15.75" customHeight="1" x14ac:dyDescent="0.2">
      <c r="A95" s="1010"/>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row>
    <row r="96" spans="1:52" ht="15.75" customHeight="1" x14ac:dyDescent="0.2">
      <c r="A96" s="1010"/>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row>
    <row r="97" spans="1:52" ht="15.75" customHeight="1" x14ac:dyDescent="0.2">
      <c r="A97" s="1010"/>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row>
    <row r="98" spans="1:52" ht="15.75" customHeight="1" x14ac:dyDescent="0.2">
      <c r="A98" s="1010"/>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row>
    <row r="99" spans="1:52" ht="15.75" customHeight="1" x14ac:dyDescent="0.2">
      <c r="A99" s="1010"/>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row>
    <row r="100" spans="1:52" ht="15.75" customHeight="1" x14ac:dyDescent="0.2">
      <c r="A100" s="1010"/>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row>
    <row r="101" spans="1:52" ht="15.75" customHeight="1" x14ac:dyDescent="0.2">
      <c r="A101" s="1010"/>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row>
    <row r="102" spans="1:52" ht="15.75" customHeight="1" x14ac:dyDescent="0.2">
      <c r="A102" s="1010"/>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row>
    <row r="103" spans="1:52" ht="15.75" customHeight="1" x14ac:dyDescent="0.2">
      <c r="A103" s="1010"/>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row>
    <row r="104" spans="1:52" ht="15.75" customHeight="1" x14ac:dyDescent="0.2">
      <c r="A104" s="1010"/>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row>
    <row r="105" spans="1:52" ht="15.75" customHeight="1" x14ac:dyDescent="0.2">
      <c r="A105" s="1010"/>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row>
    <row r="106" spans="1:52" ht="15.75" customHeight="1" x14ac:dyDescent="0.2">
      <c r="A106" s="1010"/>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row>
    <row r="107" spans="1:52" ht="15.75" customHeight="1" x14ac:dyDescent="0.2">
      <c r="A107" s="1010"/>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row>
    <row r="108" spans="1:52" ht="15.75" customHeight="1" x14ac:dyDescent="0.2">
      <c r="A108" s="1010"/>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row>
    <row r="109" spans="1:52" ht="15.75" customHeight="1" x14ac:dyDescent="0.2">
      <c r="A109" s="1010"/>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row>
    <row r="110" spans="1:52" ht="15.75" customHeight="1" x14ac:dyDescent="0.2">
      <c r="A110" s="1010"/>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row>
    <row r="111" spans="1:52" ht="15.75" customHeight="1" x14ac:dyDescent="0.2">
      <c r="A111" s="1010"/>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row>
    <row r="112" spans="1:52" ht="15.75" customHeight="1" x14ac:dyDescent="0.2">
      <c r="A112" s="1010"/>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row>
    <row r="113" spans="1:52" ht="15.75" customHeight="1" x14ac:dyDescent="0.2">
      <c r="A113" s="1010"/>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row>
    <row r="114" spans="1:52" ht="15.75" customHeight="1" x14ac:dyDescent="0.2">
      <c r="A114" s="1010"/>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row>
    <row r="115" spans="1:52" ht="15.75" customHeight="1" x14ac:dyDescent="0.2">
      <c r="A115" s="1010"/>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row>
    <row r="116" spans="1:52" ht="15.75" customHeight="1" x14ac:dyDescent="0.2">
      <c r="A116" s="1010"/>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row>
    <row r="117" spans="1:52" ht="15.75" customHeight="1" x14ac:dyDescent="0.2">
      <c r="A117" s="1010"/>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row>
    <row r="118" spans="1:52" ht="15.75" customHeight="1" x14ac:dyDescent="0.2">
      <c r="A118" s="1010"/>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row>
    <row r="119" spans="1:52" ht="15.75" customHeight="1" x14ac:dyDescent="0.2">
      <c r="A119" s="1010"/>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row>
    <row r="120" spans="1:52" ht="15.75" customHeight="1" x14ac:dyDescent="0.2">
      <c r="A120" s="1010"/>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row>
    <row r="121" spans="1:52" ht="15.75" customHeight="1" x14ac:dyDescent="0.2">
      <c r="A121" s="1010"/>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row>
    <row r="122" spans="1:52" ht="15.75" customHeight="1" x14ac:dyDescent="0.2">
      <c r="A122" s="1010"/>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row>
    <row r="123" spans="1:52" ht="15.75" customHeight="1" x14ac:dyDescent="0.2">
      <c r="A123" s="1010"/>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row>
    <row r="124" spans="1:52" ht="15.75" customHeight="1" x14ac:dyDescent="0.2">
      <c r="A124" s="1010"/>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row>
    <row r="125" spans="1:52" ht="15.75" customHeight="1" x14ac:dyDescent="0.2">
      <c r="A125" s="1010"/>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row>
    <row r="126" spans="1:52" ht="15.75" customHeight="1" x14ac:dyDescent="0.2">
      <c r="A126" s="1010"/>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row>
    <row r="127" spans="1:52" ht="15.75" customHeight="1" x14ac:dyDescent="0.2">
      <c r="A127" s="1010"/>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row>
    <row r="128" spans="1:52" ht="15.75" customHeight="1" x14ac:dyDescent="0.2">
      <c r="A128" s="1010"/>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row>
    <row r="129" spans="1:52" ht="15.75" customHeight="1" x14ac:dyDescent="0.2">
      <c r="A129" s="1010"/>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row>
    <row r="130" spans="1:52" ht="15.75" customHeight="1" x14ac:dyDescent="0.2">
      <c r="A130" s="1010"/>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row>
    <row r="131" spans="1:52" ht="15.75" customHeight="1" x14ac:dyDescent="0.2">
      <c r="A131" s="1010"/>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row>
    <row r="132" spans="1:52" ht="15.75" customHeight="1" x14ac:dyDescent="0.2">
      <c r="A132" s="1010"/>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row>
    <row r="133" spans="1:52" ht="15.75" customHeight="1" x14ac:dyDescent="0.2">
      <c r="A133" s="1010"/>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row>
    <row r="134" spans="1:52" ht="15.75" customHeight="1" x14ac:dyDescent="0.2">
      <c r="A134" s="1010"/>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row>
    <row r="135" spans="1:52" ht="15.75" customHeight="1" x14ac:dyDescent="0.2">
      <c r="A135" s="1010"/>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row>
    <row r="136" spans="1:52" ht="15.75" customHeight="1" x14ac:dyDescent="0.2">
      <c r="A136" s="1010"/>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row>
    <row r="137" spans="1:52" ht="15.75" customHeight="1" x14ac:dyDescent="0.2">
      <c r="A137" s="1010"/>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row>
    <row r="138" spans="1:52" ht="15.75" customHeight="1" x14ac:dyDescent="0.2">
      <c r="A138" s="1010"/>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row>
    <row r="139" spans="1:52" ht="15.75" customHeight="1" x14ac:dyDescent="0.2">
      <c r="A139" s="1010"/>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row>
    <row r="140" spans="1:52" ht="15.75" customHeight="1" x14ac:dyDescent="0.2">
      <c r="A140" s="1010"/>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row>
    <row r="141" spans="1:52" ht="15.75" customHeight="1" x14ac:dyDescent="0.2">
      <c r="A141" s="1010"/>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row>
    <row r="142" spans="1:52" ht="15.75" customHeight="1" x14ac:dyDescent="0.2">
      <c r="A142" s="1010"/>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row>
    <row r="143" spans="1:52" ht="15.75" customHeight="1" x14ac:dyDescent="0.2">
      <c r="A143" s="1010"/>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row>
    <row r="144" spans="1:52" ht="15.75" customHeight="1" x14ac:dyDescent="0.2">
      <c r="A144" s="1010"/>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row>
    <row r="145" spans="1:52" ht="15.75" customHeight="1" x14ac:dyDescent="0.2">
      <c r="A145" s="1010"/>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row>
    <row r="146" spans="1:52" ht="15.75" customHeight="1" x14ac:dyDescent="0.2">
      <c r="A146" s="1010"/>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row>
    <row r="147" spans="1:52" ht="15.75" customHeight="1" x14ac:dyDescent="0.2">
      <c r="A147" s="1010"/>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row>
    <row r="148" spans="1:52" ht="15.75" customHeight="1" x14ac:dyDescent="0.2">
      <c r="A148" s="1010"/>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row>
    <row r="149" spans="1:52" ht="15.75" customHeight="1" x14ac:dyDescent="0.2">
      <c r="A149" s="1010"/>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row>
    <row r="150" spans="1:52" ht="15.75" customHeight="1" x14ac:dyDescent="0.2">
      <c r="A150" s="1010"/>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row>
    <row r="151" spans="1:52" ht="15.75" customHeight="1" x14ac:dyDescent="0.2">
      <c r="A151" s="1010"/>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row>
    <row r="152" spans="1:52" ht="15.75" customHeight="1" x14ac:dyDescent="0.2">
      <c r="A152" s="1010"/>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row>
    <row r="153" spans="1:52" ht="15.75" customHeight="1" x14ac:dyDescent="0.2">
      <c r="A153" s="1010"/>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row>
    <row r="154" spans="1:52" ht="15.75" customHeight="1" x14ac:dyDescent="0.2">
      <c r="A154" s="1010"/>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row>
    <row r="155" spans="1:52" ht="15.75" customHeight="1" x14ac:dyDescent="0.2">
      <c r="A155" s="1010"/>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row>
    <row r="156" spans="1:52" ht="15.75" customHeight="1" x14ac:dyDescent="0.2">
      <c r="A156" s="1010"/>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row>
    <row r="157" spans="1:52" ht="15.75" customHeight="1" x14ac:dyDescent="0.2">
      <c r="A157" s="1010"/>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row>
    <row r="158" spans="1:52" ht="15.75" customHeight="1" x14ac:dyDescent="0.2">
      <c r="A158" s="1010"/>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row>
    <row r="159" spans="1:52" ht="15.75" customHeight="1" x14ac:dyDescent="0.2">
      <c r="A159" s="1010"/>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row>
    <row r="160" spans="1:52" ht="15.75" customHeight="1" x14ac:dyDescent="0.2">
      <c r="A160" s="1010"/>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row>
    <row r="161" spans="1:52" ht="15.75" customHeight="1" x14ac:dyDescent="0.2">
      <c r="A161" s="1010"/>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row>
    <row r="162" spans="1:52" ht="15.75" customHeight="1" x14ac:dyDescent="0.2">
      <c r="A162" s="1010"/>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row>
    <row r="163" spans="1:52" ht="15.75" customHeight="1" x14ac:dyDescent="0.2">
      <c r="A163" s="1010"/>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row>
    <row r="164" spans="1:52" ht="15.75" customHeight="1" x14ac:dyDescent="0.2">
      <c r="A164" s="1010"/>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row>
    <row r="165" spans="1:52" ht="15.75" customHeight="1" x14ac:dyDescent="0.2">
      <c r="A165" s="1010"/>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row>
    <row r="166" spans="1:52" ht="15.75" customHeight="1" x14ac:dyDescent="0.2">
      <c r="A166" s="1010"/>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row>
    <row r="167" spans="1:52" ht="15.75" customHeight="1" x14ac:dyDescent="0.2">
      <c r="A167" s="1010"/>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row>
    <row r="168" spans="1:52" ht="15.75" customHeight="1" x14ac:dyDescent="0.2">
      <c r="A168" s="1010"/>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row>
    <row r="169" spans="1:52" ht="15.75" customHeight="1" x14ac:dyDescent="0.2">
      <c r="A169" s="1010"/>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row>
    <row r="170" spans="1:52" ht="15.75" customHeight="1" x14ac:dyDescent="0.2">
      <c r="A170" s="1010"/>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row>
    <row r="171" spans="1:52" ht="15.75" customHeight="1" x14ac:dyDescent="0.2">
      <c r="A171" s="1010"/>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row>
    <row r="172" spans="1:52" ht="15.75" customHeight="1" x14ac:dyDescent="0.2">
      <c r="A172" s="1010"/>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row>
    <row r="173" spans="1:52" ht="15.75" customHeight="1" x14ac:dyDescent="0.2">
      <c r="A173" s="1010"/>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row>
    <row r="174" spans="1:52" ht="15.75" customHeight="1" x14ac:dyDescent="0.2">
      <c r="A174" s="1010"/>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row>
    <row r="175" spans="1:52" ht="15.75" customHeight="1" x14ac:dyDescent="0.2">
      <c r="A175" s="1010"/>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row>
    <row r="176" spans="1:52" ht="15.75" customHeight="1" x14ac:dyDescent="0.2">
      <c r="A176" s="1010"/>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row>
    <row r="177" spans="1:52" ht="15.75" customHeight="1" x14ac:dyDescent="0.2">
      <c r="A177" s="1010"/>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row>
    <row r="178" spans="1:52" ht="15.75" customHeight="1" x14ac:dyDescent="0.2">
      <c r="A178" s="1010"/>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row>
    <row r="179" spans="1:52" ht="15.75" customHeight="1" x14ac:dyDescent="0.2">
      <c r="A179" s="1010"/>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row>
    <row r="180" spans="1:52" ht="15.75" customHeight="1" x14ac:dyDescent="0.2">
      <c r="A180" s="1010"/>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row>
    <row r="181" spans="1:52" ht="15.75" customHeight="1" x14ac:dyDescent="0.2">
      <c r="A181" s="1010"/>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row>
    <row r="182" spans="1:52" ht="15.75" customHeight="1" x14ac:dyDescent="0.2">
      <c r="A182" s="1010"/>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row>
    <row r="183" spans="1:52" ht="15.75" customHeight="1" x14ac:dyDescent="0.2">
      <c r="A183" s="1010"/>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row>
    <row r="184" spans="1:52" ht="15.75" customHeight="1" x14ac:dyDescent="0.2">
      <c r="A184" s="1010"/>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row>
    <row r="185" spans="1:52" ht="15.75" customHeight="1" x14ac:dyDescent="0.2">
      <c r="A185" s="1010"/>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row>
    <row r="186" spans="1:52" ht="15.75" customHeight="1" x14ac:dyDescent="0.2">
      <c r="A186" s="1010"/>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row>
    <row r="187" spans="1:52" ht="15.75" customHeight="1" x14ac:dyDescent="0.2">
      <c r="A187" s="1010"/>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row>
    <row r="188" spans="1:52" ht="15.75" customHeight="1" x14ac:dyDescent="0.2">
      <c r="A188" s="1010"/>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row>
    <row r="189" spans="1:52" ht="15.75" customHeight="1" x14ac:dyDescent="0.2">
      <c r="A189" s="1010"/>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row>
    <row r="190" spans="1:52" ht="15.75" customHeight="1" x14ac:dyDescent="0.2">
      <c r="A190" s="1010"/>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row>
    <row r="191" spans="1:52" ht="15.75" customHeight="1" x14ac:dyDescent="0.2">
      <c r="A191" s="1010"/>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row>
    <row r="192" spans="1:52" ht="15.75" customHeight="1" x14ac:dyDescent="0.2">
      <c r="A192" s="1010"/>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row>
    <row r="193" spans="1:52" ht="15.75" customHeight="1" x14ac:dyDescent="0.2">
      <c r="A193" s="1010"/>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row>
    <row r="194" spans="1:52" ht="15.75" customHeight="1" x14ac:dyDescent="0.2">
      <c r="A194" s="1010"/>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row>
    <row r="195" spans="1:52" ht="15.75" customHeight="1" x14ac:dyDescent="0.2">
      <c r="A195" s="1010"/>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row>
    <row r="196" spans="1:52" ht="0" hidden="1" customHeight="1" x14ac:dyDescent="0.2">
      <c r="A196" s="1030"/>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row>
    <row r="197" spans="1:52" ht="0" hidden="1" customHeight="1" x14ac:dyDescent="0.2">
      <c r="A197" s="1030"/>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row>
    <row r="198" spans="1:52" ht="0" hidden="1" customHeight="1" x14ac:dyDescent="0.2">
      <c r="A198" s="1030"/>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row>
    <row r="199" spans="1:52" ht="0" hidden="1" customHeight="1" x14ac:dyDescent="0.2">
      <c r="A199" s="1030"/>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row>
    <row r="200" spans="1:52" ht="0" hidden="1" customHeight="1" x14ac:dyDescent="0.2">
      <c r="A200" s="1030"/>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row>
  </sheetData>
  <sheetProtection formatCells="0" formatColumns="0" formatRows="0" autoFilter="0"/>
  <pageMargins left="0.75" right="0.75" top="1" bottom="1" header="0.5" footer="0.5"/>
  <pageSetup scale="88" orientation="portrait"/>
  <headerFooter alignWithMargins="0">
    <oddHeader>&amp;CSpring 2018 Exam 5 Make-Up</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Z200"/>
  <sheetViews>
    <sheetView workbookViewId="0"/>
  </sheetViews>
  <sheetFormatPr defaultColWidth="0" defaultRowHeight="0" customHeight="1" zeroHeight="1" x14ac:dyDescent="0.25"/>
  <cols>
    <col min="1" max="5" width="12.875" style="37" customWidth="1"/>
    <col min="6" max="7" width="9.375" style="37" customWidth="1"/>
    <col min="8" max="8" width="15.625" style="37" customWidth="1"/>
    <col min="9" max="49" width="9.375" style="37" customWidth="1"/>
    <col min="50" max="16384" width="9.375" style="37" hidden="1"/>
  </cols>
  <sheetData>
    <row r="1" spans="1:52" ht="15.75" customHeight="1" thickBot="1" x14ac:dyDescent="0.3">
      <c r="A1" s="1">
        <v>25</v>
      </c>
      <c r="B1" s="2"/>
      <c r="C1" s="811"/>
      <c r="D1" s="812"/>
      <c r="E1" s="812"/>
      <c r="F1" s="812"/>
      <c r="G1" s="812"/>
      <c r="H1" s="813"/>
      <c r="I1" s="1031"/>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815" t="s">
        <v>0</v>
      </c>
      <c r="B2" s="816"/>
      <c r="C2" s="816"/>
      <c r="D2" s="816"/>
      <c r="E2" s="816"/>
      <c r="F2" s="816"/>
      <c r="G2" s="816"/>
      <c r="H2" s="817"/>
      <c r="I2" s="1031"/>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818">
        <v>2.5</v>
      </c>
      <c r="B3" s="816"/>
      <c r="C3" s="816"/>
      <c r="D3" s="816"/>
      <c r="E3" s="816"/>
      <c r="F3" s="816"/>
      <c r="G3" s="816"/>
      <c r="H3" s="817"/>
      <c r="I3" s="1031"/>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818"/>
      <c r="B4" s="820" t="s">
        <v>761</v>
      </c>
      <c r="C4" s="816"/>
      <c r="D4" s="816"/>
      <c r="E4" s="816"/>
      <c r="F4" s="816"/>
      <c r="G4" s="816"/>
      <c r="H4" s="817"/>
      <c r="I4" s="1031"/>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818"/>
      <c r="B5" s="829"/>
      <c r="C5" s="829"/>
      <c r="D5" s="829"/>
      <c r="E5" s="829"/>
      <c r="F5" s="829"/>
      <c r="G5" s="829"/>
      <c r="H5" s="830"/>
      <c r="I5" s="1031"/>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thickBot="1" x14ac:dyDescent="0.3">
      <c r="A6" s="818"/>
      <c r="B6" s="1032"/>
      <c r="C6" s="1210" t="s">
        <v>762</v>
      </c>
      <c r="D6" s="1210"/>
      <c r="E6" s="1210"/>
      <c r="F6" s="1210"/>
      <c r="G6" s="1211"/>
      <c r="H6" s="830"/>
      <c r="I6" s="1031"/>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818"/>
      <c r="B7" s="826" t="s">
        <v>135</v>
      </c>
      <c r="C7" s="1033" t="s">
        <v>763</v>
      </c>
      <c r="D7" s="1034"/>
      <c r="E7" s="1033" t="s">
        <v>764</v>
      </c>
      <c r="F7" s="1034"/>
      <c r="G7" s="828"/>
      <c r="H7" s="1035"/>
      <c r="I7" s="1031"/>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thickBot="1" x14ac:dyDescent="0.3">
      <c r="A8" s="818"/>
      <c r="B8" s="834" t="s">
        <v>83</v>
      </c>
      <c r="C8" s="834" t="s">
        <v>58</v>
      </c>
      <c r="D8" s="1036" t="s">
        <v>707</v>
      </c>
      <c r="E8" s="834" t="s">
        <v>58</v>
      </c>
      <c r="F8" s="1036" t="s">
        <v>707</v>
      </c>
      <c r="G8" s="1036" t="s">
        <v>765</v>
      </c>
      <c r="H8" s="1035"/>
      <c r="I8" s="1031"/>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818"/>
      <c r="B9" s="1037">
        <v>2014</v>
      </c>
      <c r="C9" s="1038">
        <v>0.8</v>
      </c>
      <c r="D9" s="1039">
        <v>0.81</v>
      </c>
      <c r="E9" s="1038">
        <v>0.78</v>
      </c>
      <c r="F9" s="1040">
        <v>0.81</v>
      </c>
      <c r="G9" s="1041">
        <v>0.65</v>
      </c>
      <c r="H9" s="1042"/>
      <c r="I9" s="1031"/>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818"/>
      <c r="B10" s="1043">
        <v>2015</v>
      </c>
      <c r="C10" s="1044">
        <v>0.81</v>
      </c>
      <c r="D10" s="1045">
        <v>0.83</v>
      </c>
      <c r="E10" s="1044">
        <v>0.77</v>
      </c>
      <c r="F10" s="1046">
        <v>0.81</v>
      </c>
      <c r="G10" s="1047">
        <v>0.65</v>
      </c>
      <c r="H10" s="1042"/>
      <c r="I10" s="1031"/>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818"/>
      <c r="B11" s="1043">
        <v>2016</v>
      </c>
      <c r="C11" s="1044">
        <v>0.85</v>
      </c>
      <c r="D11" s="1045">
        <v>0.91</v>
      </c>
      <c r="E11" s="1044">
        <v>0.78</v>
      </c>
      <c r="F11" s="1046">
        <v>0.84</v>
      </c>
      <c r="G11" s="1047">
        <v>0.7</v>
      </c>
      <c r="H11" s="1042"/>
      <c r="I11" s="1031"/>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818"/>
      <c r="B12" s="1048">
        <v>2017</v>
      </c>
      <c r="C12" s="1049">
        <v>0.91</v>
      </c>
      <c r="D12" s="1050">
        <v>1.01</v>
      </c>
      <c r="E12" s="1049">
        <v>0.75</v>
      </c>
      <c r="F12" s="1051">
        <v>0.85</v>
      </c>
      <c r="G12" s="1052">
        <v>0.7</v>
      </c>
      <c r="H12" s="1042"/>
      <c r="I12" s="1031"/>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818"/>
      <c r="B13" s="816"/>
      <c r="C13" s="816"/>
      <c r="D13" s="816"/>
      <c r="E13" s="816"/>
      <c r="F13" s="816"/>
      <c r="G13" s="816"/>
      <c r="H13" s="817"/>
      <c r="I13" s="1031"/>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818"/>
      <c r="B14" s="816" t="s">
        <v>766</v>
      </c>
      <c r="C14" s="816"/>
      <c r="D14" s="816"/>
      <c r="E14" s="816"/>
      <c r="F14" s="816"/>
      <c r="G14" s="816"/>
      <c r="H14" s="817"/>
      <c r="I14" s="1031"/>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818"/>
      <c r="B15" s="829" t="s">
        <v>767</v>
      </c>
      <c r="C15" s="816"/>
      <c r="D15" s="816"/>
      <c r="E15" s="816"/>
      <c r="F15" s="816"/>
      <c r="G15" s="816"/>
      <c r="H15" s="817"/>
      <c r="I15" s="1031"/>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818"/>
      <c r="B16" s="829"/>
      <c r="C16" s="816"/>
      <c r="D16" s="816"/>
      <c r="E16" s="816"/>
      <c r="F16" s="816"/>
      <c r="G16" s="816"/>
      <c r="H16" s="817"/>
      <c r="I16" s="1031"/>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818">
        <v>0.5</v>
      </c>
      <c r="B17" s="816" t="s">
        <v>19</v>
      </c>
      <c r="C17" s="816"/>
      <c r="D17" s="816"/>
      <c r="E17" s="816"/>
      <c r="F17" s="816"/>
      <c r="G17" s="816"/>
      <c r="H17" s="817"/>
      <c r="I17" s="1031"/>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818"/>
      <c r="B18" s="829" t="s">
        <v>768</v>
      </c>
      <c r="C18" s="816"/>
      <c r="D18" s="816"/>
      <c r="E18" s="816"/>
      <c r="F18" s="816"/>
      <c r="G18" s="816"/>
      <c r="H18" s="817"/>
      <c r="I18" s="1031"/>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818"/>
      <c r="B19" s="829"/>
      <c r="C19" s="816"/>
      <c r="D19" s="816"/>
      <c r="E19" s="816"/>
      <c r="F19" s="816"/>
      <c r="G19" s="816"/>
      <c r="H19" s="817"/>
      <c r="I19" s="1031"/>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1053">
        <v>2</v>
      </c>
      <c r="B20" s="829" t="s">
        <v>21</v>
      </c>
      <c r="C20" s="816"/>
      <c r="D20" s="816"/>
      <c r="E20" s="816"/>
      <c r="F20" s="816"/>
      <c r="G20" s="816"/>
      <c r="H20" s="817"/>
      <c r="I20" s="1031"/>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1054"/>
      <c r="B21" s="829" t="s">
        <v>769</v>
      </c>
      <c r="C21" s="816"/>
      <c r="D21" s="816"/>
      <c r="E21" s="816"/>
      <c r="F21" s="816"/>
      <c r="G21" s="816"/>
      <c r="H21" s="817"/>
      <c r="I21" s="1031"/>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1054"/>
      <c r="B22" s="829" t="s">
        <v>770</v>
      </c>
      <c r="C22" s="816"/>
      <c r="D22" s="816"/>
      <c r="E22" s="816"/>
      <c r="F22" s="816"/>
      <c r="G22" s="816"/>
      <c r="H22" s="817"/>
      <c r="I22" s="1031"/>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1053"/>
      <c r="B23" s="829"/>
      <c r="C23" s="816"/>
      <c r="D23" s="816"/>
      <c r="E23" s="816"/>
      <c r="F23" s="816"/>
      <c r="G23" s="816"/>
      <c r="H23" s="817"/>
      <c r="I23" s="1031"/>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1053"/>
      <c r="B24" s="1055" t="s">
        <v>771</v>
      </c>
      <c r="C24" s="816"/>
      <c r="D24" s="816"/>
      <c r="E24" s="1056"/>
      <c r="F24" s="816"/>
      <c r="G24" s="816"/>
      <c r="H24" s="817"/>
      <c r="I24" s="1031"/>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1054"/>
      <c r="B25" s="1055" t="s">
        <v>772</v>
      </c>
      <c r="C25" s="816"/>
      <c r="D25" s="816"/>
      <c r="E25" s="816"/>
      <c r="F25" s="816"/>
      <c r="G25" s="816"/>
      <c r="H25" s="817"/>
      <c r="I25" s="1031"/>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1053"/>
      <c r="B26" s="1055" t="s">
        <v>773</v>
      </c>
      <c r="C26" s="816"/>
      <c r="D26" s="816"/>
      <c r="E26" s="816"/>
      <c r="F26" s="816"/>
      <c r="G26" s="816"/>
      <c r="H26" s="817"/>
      <c r="I26" s="1031"/>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1053"/>
      <c r="B27" s="1055" t="s">
        <v>774</v>
      </c>
      <c r="C27" s="816"/>
      <c r="D27" s="816"/>
      <c r="E27" s="816"/>
      <c r="F27" s="816"/>
      <c r="G27" s="816"/>
      <c r="H27" s="817"/>
      <c r="I27" s="1031"/>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thickBot="1" x14ac:dyDescent="0.3">
      <c r="A28" s="1057"/>
      <c r="B28" s="1058"/>
      <c r="C28" s="1059"/>
      <c r="D28" s="1059"/>
      <c r="E28" s="1059"/>
      <c r="F28" s="1059"/>
      <c r="G28" s="1059"/>
      <c r="H28" s="1060"/>
      <c r="I28" s="1031"/>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1031"/>
      <c r="B29" s="1031"/>
      <c r="C29" s="1031"/>
      <c r="D29" s="1031"/>
      <c r="E29" s="1031"/>
      <c r="F29" s="1031"/>
      <c r="G29" s="1031"/>
      <c r="H29" s="1031"/>
      <c r="I29" s="1031"/>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1031" t="s">
        <v>19</v>
      </c>
      <c r="B30" s="1031"/>
      <c r="C30" s="1031"/>
      <c r="D30" s="1031"/>
      <c r="E30" s="1031"/>
      <c r="F30" s="1031"/>
      <c r="G30" s="1031"/>
      <c r="H30" s="1031"/>
      <c r="I30" s="1031"/>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1031"/>
      <c r="B31" s="1061" t="s">
        <v>775</v>
      </c>
      <c r="C31" s="1031"/>
      <c r="D31" s="1031"/>
      <c r="E31" s="1031"/>
      <c r="F31" s="1031"/>
      <c r="G31" s="1031"/>
      <c r="H31" s="1031"/>
      <c r="I31" s="1031"/>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1031"/>
      <c r="B32" s="1061" t="s">
        <v>776</v>
      </c>
      <c r="C32" s="1031"/>
      <c r="D32" s="1031"/>
      <c r="E32" s="1031"/>
      <c r="F32" s="1031"/>
      <c r="G32" s="1031"/>
      <c r="H32" s="1031"/>
      <c r="I32" s="1031"/>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1031"/>
      <c r="B33" s="1031"/>
      <c r="C33" s="1031"/>
      <c r="D33" s="1031"/>
      <c r="E33" s="1031"/>
      <c r="F33" s="1031"/>
      <c r="G33" s="1031"/>
      <c r="H33" s="1031"/>
      <c r="I33" s="1031"/>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1031" t="s">
        <v>21</v>
      </c>
      <c r="B34" s="1031"/>
      <c r="C34" s="1031"/>
      <c r="D34" s="1031"/>
      <c r="E34" s="1031"/>
      <c r="F34" s="1031"/>
      <c r="G34" s="1031"/>
      <c r="H34" s="1031"/>
      <c r="I34" s="1031"/>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1031"/>
      <c r="B35" s="1031" t="s">
        <v>777</v>
      </c>
      <c r="C35" s="1031"/>
      <c r="D35" s="1031"/>
      <c r="E35" s="1031"/>
      <c r="F35" s="1031"/>
      <c r="G35" s="1031"/>
      <c r="H35" s="1031"/>
      <c r="I35" s="1031"/>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1031"/>
      <c r="B36" s="1031"/>
      <c r="C36" s="1061" t="s">
        <v>778</v>
      </c>
      <c r="D36" s="1031"/>
      <c r="E36" s="1031"/>
      <c r="F36" s="1031"/>
      <c r="G36" s="1031"/>
      <c r="H36" s="1031"/>
      <c r="I36" s="1031"/>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1031"/>
      <c r="B37" s="1031"/>
      <c r="C37" s="1061" t="s">
        <v>779</v>
      </c>
      <c r="D37" s="1031"/>
      <c r="E37" s="1031"/>
      <c r="F37" s="1031"/>
      <c r="G37" s="1031"/>
      <c r="H37" s="1031"/>
      <c r="I37" s="1031"/>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1031"/>
      <c r="B38" s="1031"/>
      <c r="C38" s="1031"/>
      <c r="D38" s="1031"/>
      <c r="E38" s="1031"/>
      <c r="F38" s="1031"/>
      <c r="G38" s="1031"/>
      <c r="H38" s="1031"/>
      <c r="I38" s="1031"/>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1031"/>
      <c r="B39" s="1031" t="s">
        <v>780</v>
      </c>
      <c r="C39" s="1031"/>
      <c r="D39" s="1031"/>
      <c r="E39" s="1031"/>
      <c r="F39" s="1031"/>
      <c r="G39" s="1031"/>
      <c r="H39" s="1031"/>
      <c r="I39" s="1031"/>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1031"/>
      <c r="B40" s="1031"/>
      <c r="C40" s="1062" t="s">
        <v>781</v>
      </c>
      <c r="D40" s="1031"/>
      <c r="E40" s="1031"/>
      <c r="F40" s="1031"/>
      <c r="G40" s="1031"/>
      <c r="H40" s="1031"/>
      <c r="I40" s="1031"/>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1031"/>
      <c r="B41" s="1031"/>
      <c r="C41" s="1062" t="s">
        <v>782</v>
      </c>
      <c r="D41" s="1031"/>
      <c r="E41" s="1031"/>
      <c r="F41" s="1031"/>
      <c r="G41" s="1031"/>
      <c r="H41" s="1031"/>
      <c r="I41" s="1031"/>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1031"/>
      <c r="B42" s="1031"/>
      <c r="C42" s="1031"/>
      <c r="D42" s="1031"/>
      <c r="E42" s="1031"/>
      <c r="F42" s="1031"/>
      <c r="G42" s="1031"/>
      <c r="H42" s="1031"/>
      <c r="I42" s="1031"/>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1031"/>
      <c r="B43" s="1031" t="s">
        <v>783</v>
      </c>
      <c r="C43" s="1031"/>
      <c r="D43" s="1031"/>
      <c r="E43" s="1031"/>
      <c r="F43" s="1031"/>
      <c r="G43" s="1031"/>
      <c r="H43" s="1031"/>
      <c r="I43" s="1031"/>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1031"/>
      <c r="B44" s="1031"/>
      <c r="C44" s="1062" t="s">
        <v>784</v>
      </c>
      <c r="D44" s="1031"/>
      <c r="E44" s="1031"/>
      <c r="F44" s="1031"/>
      <c r="G44" s="1031"/>
      <c r="H44" s="1031"/>
      <c r="I44" s="1031"/>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1031"/>
      <c r="B45" s="1031"/>
      <c r="C45" s="1062" t="s">
        <v>785</v>
      </c>
      <c r="D45" s="1031"/>
      <c r="E45" s="1031"/>
      <c r="F45" s="1031"/>
      <c r="G45" s="1031"/>
      <c r="H45" s="1031"/>
      <c r="I45" s="1031"/>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1031"/>
      <c r="B46" s="1031"/>
      <c r="C46" s="1031"/>
      <c r="D46" s="1031"/>
      <c r="E46" s="1031"/>
      <c r="F46" s="1031"/>
      <c r="G46" s="1031"/>
      <c r="H46" s="1031"/>
      <c r="I46" s="1031"/>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1031"/>
      <c r="B47" s="1031" t="s">
        <v>786</v>
      </c>
      <c r="C47" s="1031"/>
      <c r="D47" s="1031"/>
      <c r="E47" s="1031"/>
      <c r="F47" s="1031"/>
      <c r="G47" s="1031"/>
      <c r="H47" s="1031"/>
      <c r="I47" s="1031"/>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1031"/>
      <c r="B48" s="1031"/>
      <c r="C48" s="1062" t="s">
        <v>787</v>
      </c>
      <c r="D48" s="1031"/>
      <c r="E48" s="1031"/>
      <c r="F48" s="1031"/>
      <c r="G48" s="1031"/>
      <c r="H48" s="1031"/>
      <c r="I48" s="1031"/>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1031"/>
      <c r="B49" s="1031"/>
      <c r="C49" s="1062" t="s">
        <v>788</v>
      </c>
      <c r="D49" s="1031"/>
      <c r="E49" s="1031"/>
      <c r="F49" s="1031"/>
      <c r="G49" s="1031"/>
      <c r="H49" s="1031"/>
      <c r="I49" s="1031"/>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1031"/>
      <c r="B50" s="1031"/>
      <c r="C50" s="1031"/>
      <c r="D50" s="1031"/>
      <c r="E50" s="1031"/>
      <c r="F50" s="1031"/>
      <c r="G50" s="1031"/>
      <c r="H50" s="1031"/>
      <c r="I50" s="1031"/>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1031"/>
      <c r="B51" s="1031"/>
      <c r="C51" s="1031"/>
      <c r="D51" s="1031"/>
      <c r="E51" s="1031"/>
      <c r="F51" s="1031"/>
      <c r="G51" s="1031"/>
      <c r="H51" s="1031"/>
      <c r="I51" s="1031"/>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1031"/>
      <c r="B52" s="1031"/>
      <c r="C52" s="1031"/>
      <c r="D52" s="1031"/>
      <c r="E52" s="1031"/>
      <c r="F52" s="1031"/>
      <c r="G52" s="1031"/>
      <c r="H52" s="1031"/>
      <c r="I52" s="1031"/>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1031"/>
      <c r="B53" s="1031"/>
      <c r="C53" s="1031"/>
      <c r="D53" s="1031"/>
      <c r="E53" s="1031"/>
      <c r="F53" s="1031"/>
      <c r="G53" s="1031"/>
      <c r="H53" s="1031"/>
      <c r="I53" s="1031"/>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1031"/>
      <c r="B54" s="1031"/>
      <c r="C54" s="1031"/>
      <c r="D54" s="1031"/>
      <c r="E54" s="1031"/>
      <c r="F54" s="1031"/>
      <c r="G54" s="1031"/>
      <c r="H54" s="1031"/>
      <c r="I54" s="1031"/>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1031"/>
      <c r="B55" s="1031"/>
      <c r="C55" s="1031"/>
      <c r="D55" s="1031"/>
      <c r="E55" s="1031"/>
      <c r="F55" s="1031"/>
      <c r="G55" s="1031"/>
      <c r="H55" s="1031"/>
      <c r="I55" s="1031"/>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1031"/>
      <c r="B56" s="1031"/>
      <c r="C56" s="1031"/>
      <c r="D56" s="1031"/>
      <c r="E56" s="1031"/>
      <c r="F56" s="1031"/>
      <c r="G56" s="1031"/>
      <c r="H56" s="1031"/>
      <c r="I56" s="1031"/>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1031"/>
      <c r="B57" s="1031"/>
      <c r="C57" s="1031"/>
      <c r="D57" s="1031"/>
      <c r="E57" s="1031"/>
      <c r="F57" s="1031"/>
      <c r="G57" s="1031"/>
      <c r="H57" s="1031"/>
      <c r="I57" s="1031"/>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1031"/>
      <c r="B58" s="1031"/>
      <c r="C58" s="1031"/>
      <c r="D58" s="1031"/>
      <c r="E58" s="1031"/>
      <c r="F58" s="1031"/>
      <c r="G58" s="1031"/>
      <c r="H58" s="1031"/>
      <c r="I58" s="1031"/>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1031"/>
      <c r="B59" s="1031"/>
      <c r="C59" s="1031"/>
      <c r="D59" s="1031"/>
      <c r="E59" s="1031"/>
      <c r="F59" s="1031"/>
      <c r="G59" s="1031"/>
      <c r="H59" s="1031"/>
      <c r="I59" s="1031"/>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1031"/>
      <c r="B60" s="1031"/>
      <c r="C60" s="1031"/>
      <c r="D60" s="1031"/>
      <c r="E60" s="1031"/>
      <c r="F60" s="1031"/>
      <c r="G60" s="1031"/>
      <c r="H60" s="1031"/>
      <c r="I60" s="1031"/>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1031"/>
      <c r="B61" s="1031"/>
      <c r="C61" s="1031"/>
      <c r="D61" s="1031"/>
      <c r="E61" s="1031"/>
      <c r="F61" s="1031"/>
      <c r="G61" s="1031"/>
      <c r="H61" s="1031"/>
      <c r="I61" s="1031"/>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mergeCells count="1">
    <mergeCell ref="C6:G6"/>
  </mergeCells>
  <pageMargins left="0.75" right="0.75" top="1" bottom="1" header="0.5" footer="0.5"/>
  <pageSetup scale="86" firstPageNumber="0" orientation="portrait"/>
  <headerFooter alignWithMargins="0">
    <oddHeader>&amp;CSpring 2018 Exam 5 Make-Up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Z200"/>
  <sheetViews>
    <sheetView workbookViewId="0"/>
  </sheetViews>
  <sheetFormatPr defaultColWidth="0" defaultRowHeight="0" customHeight="1" zeroHeight="1" x14ac:dyDescent="0.25"/>
  <cols>
    <col min="1" max="1" width="18.125" style="37" customWidth="1"/>
    <col min="2" max="2" width="21.375" style="37" customWidth="1"/>
    <col min="3" max="3" width="20.125" style="37" bestFit="1" customWidth="1"/>
    <col min="4" max="4" width="14.125" style="37" bestFit="1" customWidth="1"/>
    <col min="5" max="5" width="19.75" style="37" bestFit="1" customWidth="1"/>
    <col min="6" max="6" width="14.375" style="37" customWidth="1"/>
    <col min="7" max="7" width="15" style="37" customWidth="1"/>
    <col min="8" max="49" width="10.625" style="37" customWidth="1"/>
    <col min="50" max="16384" width="10.625" style="37" hidden="1"/>
  </cols>
  <sheetData>
    <row r="1" spans="1:52" ht="15.75" thickBot="1" x14ac:dyDescent="0.3">
      <c r="A1" s="1">
        <v>2</v>
      </c>
      <c r="B1" s="2"/>
      <c r="C1" s="33"/>
      <c r="D1" s="33"/>
      <c r="E1" s="33"/>
      <c r="F1" s="33"/>
      <c r="G1" s="33"/>
      <c r="H1" s="34"/>
      <c r="I1" s="8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40"/>
      <c r="I2" s="82"/>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1.75</v>
      </c>
      <c r="B3" s="39"/>
      <c r="C3" s="39"/>
      <c r="D3" s="39"/>
      <c r="E3" s="39"/>
      <c r="F3" s="39"/>
      <c r="G3" s="39"/>
      <c r="H3" s="40"/>
      <c r="I3" s="82"/>
      <c r="J3" s="36" t="s">
        <v>66</v>
      </c>
      <c r="K3" s="36" t="s">
        <v>67</v>
      </c>
      <c r="L3" s="36" t="s">
        <v>68</v>
      </c>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44" t="s">
        <v>29</v>
      </c>
      <c r="C4" s="45"/>
      <c r="D4" s="45"/>
      <c r="E4" s="45"/>
      <c r="F4" s="39"/>
      <c r="G4" s="46"/>
      <c r="H4" s="47"/>
      <c r="I4" s="82" t="s">
        <v>19</v>
      </c>
      <c r="J4" s="36" t="s">
        <v>6</v>
      </c>
      <c r="K4" s="84">
        <f>F8+(G8-0)</f>
        <v>4000</v>
      </c>
      <c r="L4" s="84">
        <f>F9+(G9-G8)</f>
        <v>500</v>
      </c>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49"/>
      <c r="C5" s="45"/>
      <c r="D5" s="45"/>
      <c r="E5" s="45"/>
      <c r="F5" s="45"/>
      <c r="G5" s="46"/>
      <c r="H5" s="47"/>
      <c r="I5" s="82"/>
      <c r="J5" s="36" t="s">
        <v>8</v>
      </c>
      <c r="K5" s="36">
        <f>0</f>
        <v>0</v>
      </c>
      <c r="L5" s="84">
        <f>F10+F11+G11</f>
        <v>6000</v>
      </c>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44.25" customHeight="1" thickBot="1" x14ac:dyDescent="0.3">
      <c r="A6" s="42"/>
      <c r="B6" s="50" t="s">
        <v>34</v>
      </c>
      <c r="C6" s="51" t="s">
        <v>35</v>
      </c>
      <c r="D6" s="51" t="s">
        <v>36</v>
      </c>
      <c r="E6" s="51" t="s">
        <v>3</v>
      </c>
      <c r="F6" s="52" t="s">
        <v>37</v>
      </c>
      <c r="G6" s="53" t="s">
        <v>38</v>
      </c>
      <c r="H6" s="47"/>
      <c r="I6" s="82"/>
      <c r="J6" s="83" t="s">
        <v>25</v>
      </c>
      <c r="K6" s="85">
        <f>SUM(K4:K5)</f>
        <v>4000</v>
      </c>
      <c r="L6" s="85">
        <f>SUM(L4:L5)</f>
        <v>6500</v>
      </c>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1180" t="s">
        <v>6</v>
      </c>
      <c r="C7" s="1183">
        <v>42370</v>
      </c>
      <c r="D7" s="1183">
        <v>42554</v>
      </c>
      <c r="E7" s="54">
        <v>42556</v>
      </c>
      <c r="F7" s="55">
        <v>0</v>
      </c>
      <c r="G7" s="56">
        <v>2000</v>
      </c>
      <c r="H7" s="57"/>
      <c r="I7" s="82"/>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10"/>
      <c r="B8" s="1181"/>
      <c r="C8" s="1184"/>
      <c r="D8" s="1184"/>
      <c r="E8" s="58">
        <v>42628</v>
      </c>
      <c r="F8" s="59">
        <v>1000</v>
      </c>
      <c r="G8" s="60">
        <v>3000</v>
      </c>
      <c r="H8" s="61"/>
      <c r="I8" s="82" t="s">
        <v>21</v>
      </c>
      <c r="J8" s="36" t="s">
        <v>66</v>
      </c>
      <c r="K8" s="36" t="s">
        <v>69</v>
      </c>
      <c r="L8" s="36" t="s">
        <v>70</v>
      </c>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thickBot="1" x14ac:dyDescent="0.3">
      <c r="A9" s="42"/>
      <c r="B9" s="1182"/>
      <c r="C9" s="1185"/>
      <c r="D9" s="1185"/>
      <c r="E9" s="62">
        <v>42738</v>
      </c>
      <c r="F9" s="63">
        <v>3500</v>
      </c>
      <c r="G9" s="64">
        <v>0</v>
      </c>
      <c r="H9" s="40"/>
      <c r="I9" s="82"/>
      <c r="J9" s="36" t="s">
        <v>6</v>
      </c>
      <c r="K9" s="84">
        <f>F8+F9+G9</f>
        <v>4500</v>
      </c>
      <c r="L9" s="84">
        <f>0</f>
        <v>0</v>
      </c>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42"/>
      <c r="B10" s="1180" t="s">
        <v>8</v>
      </c>
      <c r="C10" s="1183">
        <v>42644</v>
      </c>
      <c r="D10" s="1183">
        <v>42856</v>
      </c>
      <c r="E10" s="54">
        <v>42856</v>
      </c>
      <c r="F10" s="55">
        <v>500</v>
      </c>
      <c r="G10" s="56">
        <v>5000</v>
      </c>
      <c r="H10" s="40"/>
      <c r="I10" s="82"/>
      <c r="J10" s="36" t="s">
        <v>8</v>
      </c>
      <c r="K10" s="36">
        <f>0</f>
        <v>0</v>
      </c>
      <c r="L10" s="84">
        <f>F10+F11+G11</f>
        <v>6000</v>
      </c>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1181"/>
      <c r="C11" s="1184"/>
      <c r="D11" s="1184"/>
      <c r="E11" s="58">
        <v>43041</v>
      </c>
      <c r="F11" s="59">
        <v>2500</v>
      </c>
      <c r="G11" s="60">
        <v>3000</v>
      </c>
      <c r="H11" s="40"/>
      <c r="I11" s="82"/>
      <c r="J11" s="83" t="s">
        <v>25</v>
      </c>
      <c r="K11" s="85">
        <f>SUM(K9:K10)</f>
        <v>4500</v>
      </c>
      <c r="L11" s="85">
        <f>SUM(L9:L10)</f>
        <v>6000</v>
      </c>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42"/>
      <c r="B12" s="1182"/>
      <c r="C12" s="1185"/>
      <c r="D12" s="1185"/>
      <c r="E12" s="62">
        <v>43102</v>
      </c>
      <c r="F12" s="63">
        <v>5000</v>
      </c>
      <c r="G12" s="64">
        <v>0</v>
      </c>
      <c r="H12" s="40"/>
      <c r="I12" s="82"/>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49"/>
      <c r="C13" s="45"/>
      <c r="D13" s="45"/>
      <c r="E13" s="45"/>
      <c r="F13" s="39"/>
      <c r="G13" s="46"/>
      <c r="H13" s="40"/>
      <c r="I13" s="82" t="s">
        <v>52</v>
      </c>
      <c r="J13" s="36" t="s">
        <v>66</v>
      </c>
      <c r="K13" s="36" t="s">
        <v>71</v>
      </c>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42">
        <v>0.5</v>
      </c>
      <c r="B14" s="45" t="s">
        <v>46</v>
      </c>
      <c r="C14" s="45"/>
      <c r="D14" s="45"/>
      <c r="E14" s="45"/>
      <c r="F14" s="39"/>
      <c r="G14" s="46"/>
      <c r="H14" s="40"/>
      <c r="I14" s="82"/>
      <c r="J14" s="36" t="s">
        <v>6</v>
      </c>
      <c r="K14" s="84">
        <f>F8+F9+G9</f>
        <v>4500</v>
      </c>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44" t="s">
        <v>48</v>
      </c>
      <c r="C15" s="45"/>
      <c r="D15" s="45"/>
      <c r="E15" s="45"/>
      <c r="F15" s="39"/>
      <c r="G15" s="46"/>
      <c r="H15" s="40"/>
      <c r="I15" s="82"/>
      <c r="J15" s="36" t="s">
        <v>8</v>
      </c>
      <c r="K15" s="84">
        <f>F10+F11+G11</f>
        <v>6000</v>
      </c>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65" t="s">
        <v>49</v>
      </c>
      <c r="C16" s="66"/>
      <c r="D16" s="45"/>
      <c r="E16" s="45"/>
      <c r="F16" s="39"/>
      <c r="G16" s="46"/>
      <c r="H16" s="40"/>
      <c r="I16" s="82"/>
      <c r="J16" s="83" t="s">
        <v>25</v>
      </c>
      <c r="K16" s="85">
        <f>SUM(K14:K15)</f>
        <v>10500</v>
      </c>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65" t="s">
        <v>50</v>
      </c>
      <c r="C17" s="66"/>
      <c r="D17" s="45"/>
      <c r="E17" s="45"/>
      <c r="F17" s="39"/>
      <c r="G17" s="46"/>
      <c r="H17" s="40"/>
      <c r="I17" s="82"/>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67"/>
      <c r="C18" s="66"/>
      <c r="D18" s="45"/>
      <c r="E18" s="45"/>
      <c r="F18" s="39"/>
      <c r="G18" s="46"/>
      <c r="H18" s="40"/>
      <c r="I18" s="82"/>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2">
        <v>0.5</v>
      </c>
      <c r="B19" s="45" t="s">
        <v>21</v>
      </c>
      <c r="C19" s="66"/>
      <c r="D19" s="45"/>
      <c r="E19" s="45"/>
      <c r="F19" s="39"/>
      <c r="G19" s="39"/>
      <c r="H19" s="40"/>
      <c r="I19" s="82" t="s">
        <v>54</v>
      </c>
      <c r="J19" s="36" t="s">
        <v>72</v>
      </c>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c r="B20" s="44" t="s">
        <v>51</v>
      </c>
      <c r="C20" s="66"/>
      <c r="D20" s="45"/>
      <c r="E20" s="45"/>
      <c r="F20" s="39"/>
      <c r="G20" s="39"/>
      <c r="H20" s="40"/>
      <c r="I20" s="82"/>
      <c r="J20" s="36" t="s">
        <v>73</v>
      </c>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65" t="s">
        <v>49</v>
      </c>
      <c r="C21" s="66"/>
      <c r="D21" s="45"/>
      <c r="E21" s="45"/>
      <c r="F21" s="39"/>
      <c r="G21" s="39"/>
      <c r="H21" s="40"/>
      <c r="I21" s="82"/>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c r="B22" s="65" t="s">
        <v>50</v>
      </c>
      <c r="C22" s="66"/>
      <c r="D22" s="45"/>
      <c r="E22" s="45"/>
      <c r="F22" s="39"/>
      <c r="G22" s="39"/>
      <c r="H22" s="40"/>
      <c r="I22" s="82"/>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c r="B23" s="44"/>
      <c r="C23" s="66"/>
      <c r="D23" s="45"/>
      <c r="E23" s="45"/>
      <c r="F23" s="39"/>
      <c r="G23" s="39"/>
      <c r="H23" s="40"/>
      <c r="I23" s="82"/>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v>0.25</v>
      </c>
      <c r="B24" s="45" t="s">
        <v>52</v>
      </c>
      <c r="C24" s="66"/>
      <c r="D24" s="45"/>
      <c r="E24" s="45"/>
      <c r="F24" s="39"/>
      <c r="G24" s="39"/>
      <c r="H24" s="40"/>
      <c r="I24" s="82"/>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2"/>
      <c r="B25" s="44" t="s">
        <v>53</v>
      </c>
      <c r="C25" s="66"/>
      <c r="D25" s="45"/>
      <c r="E25" s="45"/>
      <c r="F25" s="39"/>
      <c r="G25" s="39"/>
      <c r="H25" s="40"/>
      <c r="I25" s="82"/>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42"/>
      <c r="B26" s="45"/>
      <c r="C26" s="45"/>
      <c r="D26" s="45"/>
      <c r="E26" s="45"/>
      <c r="F26" s="39"/>
      <c r="G26" s="39"/>
      <c r="H26" s="40"/>
      <c r="I26" s="82"/>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42">
        <v>0.5</v>
      </c>
      <c r="B27" s="45" t="s">
        <v>54</v>
      </c>
      <c r="C27" s="45"/>
      <c r="D27" s="68"/>
      <c r="E27" s="69"/>
      <c r="F27" s="70"/>
      <c r="G27" s="71"/>
      <c r="H27" s="40"/>
      <c r="I27" s="82"/>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10"/>
      <c r="B28" s="44" t="s">
        <v>55</v>
      </c>
      <c r="C28" s="45"/>
      <c r="D28" s="72"/>
      <c r="E28" s="72"/>
      <c r="F28" s="72"/>
      <c r="G28" s="72"/>
      <c r="H28" s="73"/>
      <c r="I28" s="8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thickBot="1" x14ac:dyDescent="0.3">
      <c r="A29" s="75"/>
      <c r="B29" s="76"/>
      <c r="C29" s="76"/>
      <c r="D29" s="76"/>
      <c r="E29" s="76"/>
      <c r="F29" s="76"/>
      <c r="G29" s="76"/>
      <c r="H29" s="77"/>
      <c r="I29" s="82"/>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82"/>
      <c r="H30" s="82"/>
      <c r="I30" s="82"/>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c r="C31" s="82"/>
      <c r="D31" s="82"/>
      <c r="E31" s="82"/>
      <c r="F31" s="82"/>
      <c r="G31" s="82"/>
      <c r="H31" s="82"/>
      <c r="I31" s="82"/>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82"/>
      <c r="D32" s="82"/>
      <c r="E32" s="82"/>
      <c r="F32" s="82"/>
      <c r="G32" s="82"/>
      <c r="H32" s="82"/>
      <c r="I32" s="82"/>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c r="C33" s="82"/>
      <c r="D33" s="82"/>
      <c r="E33" s="82"/>
      <c r="F33" s="82"/>
      <c r="G33" s="82"/>
      <c r="H33" s="82"/>
      <c r="I33" s="82"/>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c r="C34" s="82"/>
      <c r="D34" s="82"/>
      <c r="E34" s="82"/>
      <c r="F34" s="82"/>
      <c r="G34" s="82"/>
      <c r="H34" s="82"/>
      <c r="I34" s="82"/>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82"/>
      <c r="H35" s="82"/>
      <c r="I35" s="82"/>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c r="C36" s="82"/>
      <c r="D36" s="82"/>
      <c r="E36" s="82"/>
      <c r="F36" s="82"/>
      <c r="G36" s="82"/>
      <c r="H36" s="82"/>
      <c r="I36" s="82"/>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c r="C37" s="82"/>
      <c r="D37" s="82"/>
      <c r="E37" s="82"/>
      <c r="F37" s="82"/>
      <c r="G37" s="82"/>
      <c r="H37" s="82"/>
      <c r="I37" s="82"/>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c r="D38" s="82"/>
      <c r="E38" s="82"/>
      <c r="F38" s="82"/>
      <c r="G38" s="82"/>
      <c r="H38" s="82"/>
      <c r="I38" s="82"/>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82"/>
      <c r="H39" s="82"/>
      <c r="I39" s="82"/>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82"/>
      <c r="H40" s="82"/>
      <c r="I40" s="82"/>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82"/>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82"/>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82"/>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82"/>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mergeCells count="6">
    <mergeCell ref="B7:B9"/>
    <mergeCell ref="C7:C9"/>
    <mergeCell ref="D7:D9"/>
    <mergeCell ref="B10:B12"/>
    <mergeCell ref="C10:C12"/>
    <mergeCell ref="D10:D12"/>
  </mergeCells>
  <pageMargins left="0.75" right="0.75" top="1" bottom="1" header="0.5" footer="0.5"/>
  <pageSetup scale="74" firstPageNumber="0" orientation="portrait"/>
  <headerFooter alignWithMargins="0">
    <oddHeader>&amp;CSpring 2018 Exam 5 Make-Up</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Z200"/>
  <sheetViews>
    <sheetView workbookViewId="0"/>
  </sheetViews>
  <sheetFormatPr defaultColWidth="0" defaultRowHeight="0" customHeight="1" zeroHeight="1" x14ac:dyDescent="0.25"/>
  <cols>
    <col min="1" max="5" width="12.875" style="37" customWidth="1"/>
    <col min="6" max="7" width="9.375" style="37" customWidth="1"/>
    <col min="8" max="8" width="16.875" style="37" customWidth="1"/>
    <col min="9" max="49" width="9.375" style="37" customWidth="1"/>
    <col min="50" max="16384" width="9.375" style="37" hidden="1"/>
  </cols>
  <sheetData>
    <row r="1" spans="1:52" ht="15.75" customHeight="1" thickBot="1" x14ac:dyDescent="0.3">
      <c r="A1" s="1">
        <v>25</v>
      </c>
      <c r="B1" s="2"/>
      <c r="C1" s="811"/>
      <c r="D1" s="812"/>
      <c r="E1" s="812"/>
      <c r="F1" s="812"/>
      <c r="G1" s="812"/>
      <c r="H1" s="813"/>
      <c r="I1" s="1031"/>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815" t="s">
        <v>0</v>
      </c>
      <c r="B2" s="816"/>
      <c r="C2" s="816"/>
      <c r="D2" s="816"/>
      <c r="E2" s="816"/>
      <c r="F2" s="816"/>
      <c r="G2" s="816"/>
      <c r="H2" s="817"/>
      <c r="I2" s="1031"/>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818">
        <v>2.5</v>
      </c>
      <c r="B3" s="816"/>
      <c r="C3" s="816"/>
      <c r="D3" s="816"/>
      <c r="E3" s="816"/>
      <c r="F3" s="816"/>
      <c r="G3" s="816"/>
      <c r="H3" s="817"/>
      <c r="I3" s="1031"/>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818"/>
      <c r="B4" s="820" t="s">
        <v>761</v>
      </c>
      <c r="C4" s="816"/>
      <c r="D4" s="816"/>
      <c r="E4" s="816"/>
      <c r="F4" s="816"/>
      <c r="G4" s="816"/>
      <c r="H4" s="817"/>
      <c r="I4" s="1031"/>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818"/>
      <c r="B5" s="829"/>
      <c r="C5" s="829"/>
      <c r="D5" s="829"/>
      <c r="E5" s="829"/>
      <c r="F5" s="829"/>
      <c r="G5" s="829"/>
      <c r="H5" s="830"/>
      <c r="I5" s="1031"/>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thickBot="1" x14ac:dyDescent="0.3">
      <c r="A6" s="818"/>
      <c r="B6" s="1032"/>
      <c r="C6" s="1210" t="s">
        <v>762</v>
      </c>
      <c r="D6" s="1210"/>
      <c r="E6" s="1210"/>
      <c r="F6" s="1210"/>
      <c r="G6" s="1211"/>
      <c r="H6" s="830"/>
      <c r="I6" s="1031"/>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818"/>
      <c r="B7" s="826" t="s">
        <v>135</v>
      </c>
      <c r="C7" s="1033" t="s">
        <v>763</v>
      </c>
      <c r="D7" s="1034"/>
      <c r="E7" s="1033" t="s">
        <v>764</v>
      </c>
      <c r="F7" s="1034"/>
      <c r="G7" s="828"/>
      <c r="H7" s="1035"/>
      <c r="I7" s="1031"/>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thickBot="1" x14ac:dyDescent="0.3">
      <c r="A8" s="818"/>
      <c r="B8" s="834" t="s">
        <v>83</v>
      </c>
      <c r="C8" s="834" t="s">
        <v>58</v>
      </c>
      <c r="D8" s="1036" t="s">
        <v>707</v>
      </c>
      <c r="E8" s="834" t="s">
        <v>58</v>
      </c>
      <c r="F8" s="1036" t="s">
        <v>707</v>
      </c>
      <c r="G8" s="1036" t="s">
        <v>765</v>
      </c>
      <c r="H8" s="1035"/>
      <c r="I8" s="1031"/>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x14ac:dyDescent="0.25">
      <c r="A9" s="818"/>
      <c r="B9" s="1037">
        <v>2014</v>
      </c>
      <c r="C9" s="1038">
        <v>0.8</v>
      </c>
      <c r="D9" s="1039">
        <v>0.81</v>
      </c>
      <c r="E9" s="1038">
        <v>0.78</v>
      </c>
      <c r="F9" s="1040">
        <v>0.81</v>
      </c>
      <c r="G9" s="1041">
        <v>0.65</v>
      </c>
      <c r="H9" s="1042"/>
      <c r="I9" s="1031"/>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x14ac:dyDescent="0.25">
      <c r="A10" s="818"/>
      <c r="B10" s="1043">
        <v>2015</v>
      </c>
      <c r="C10" s="1044">
        <v>0.81</v>
      </c>
      <c r="D10" s="1045">
        <v>0.83</v>
      </c>
      <c r="E10" s="1044">
        <v>0.77</v>
      </c>
      <c r="F10" s="1046">
        <v>0.81</v>
      </c>
      <c r="G10" s="1047">
        <v>0.65</v>
      </c>
      <c r="H10" s="1042"/>
      <c r="I10" s="1031"/>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818"/>
      <c r="B11" s="1043">
        <v>2016</v>
      </c>
      <c r="C11" s="1044">
        <v>0.85</v>
      </c>
      <c r="D11" s="1045">
        <v>0.91</v>
      </c>
      <c r="E11" s="1044">
        <v>0.78</v>
      </c>
      <c r="F11" s="1046">
        <v>0.84</v>
      </c>
      <c r="G11" s="1047">
        <v>0.7</v>
      </c>
      <c r="H11" s="1042"/>
      <c r="I11" s="1031"/>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thickBot="1" x14ac:dyDescent="0.3">
      <c r="A12" s="818"/>
      <c r="B12" s="1048">
        <v>2017</v>
      </c>
      <c r="C12" s="1049">
        <v>0.91</v>
      </c>
      <c r="D12" s="1050">
        <v>1.01</v>
      </c>
      <c r="E12" s="1049">
        <v>0.75</v>
      </c>
      <c r="F12" s="1051">
        <v>0.85</v>
      </c>
      <c r="G12" s="1052">
        <v>0.7</v>
      </c>
      <c r="H12" s="1042"/>
      <c r="I12" s="1031"/>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818"/>
      <c r="B13" s="816"/>
      <c r="C13" s="816"/>
      <c r="D13" s="816"/>
      <c r="E13" s="816"/>
      <c r="F13" s="816"/>
      <c r="G13" s="816"/>
      <c r="H13" s="817"/>
      <c r="I13" s="1031"/>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x14ac:dyDescent="0.25">
      <c r="A14" s="818"/>
      <c r="B14" s="816" t="s">
        <v>766</v>
      </c>
      <c r="C14" s="816"/>
      <c r="D14" s="816"/>
      <c r="E14" s="816"/>
      <c r="F14" s="816"/>
      <c r="G14" s="816"/>
      <c r="H14" s="817"/>
      <c r="I14" s="1031"/>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818"/>
      <c r="B15" s="829" t="s">
        <v>767</v>
      </c>
      <c r="C15" s="816"/>
      <c r="D15" s="816"/>
      <c r="E15" s="816"/>
      <c r="F15" s="816"/>
      <c r="G15" s="816"/>
      <c r="H15" s="817"/>
      <c r="I15" s="1031"/>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818"/>
      <c r="B16" s="829"/>
      <c r="C16" s="816"/>
      <c r="D16" s="816"/>
      <c r="E16" s="816"/>
      <c r="F16" s="816"/>
      <c r="G16" s="816"/>
      <c r="H16" s="817"/>
      <c r="I16" s="1031"/>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818">
        <v>0.5</v>
      </c>
      <c r="B17" s="816" t="s">
        <v>19</v>
      </c>
      <c r="C17" s="816"/>
      <c r="D17" s="816"/>
      <c r="E17" s="816"/>
      <c r="F17" s="816"/>
      <c r="G17" s="816"/>
      <c r="H17" s="817"/>
      <c r="I17" s="1031"/>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818"/>
      <c r="B18" s="829" t="s">
        <v>768</v>
      </c>
      <c r="C18" s="816"/>
      <c r="D18" s="816"/>
      <c r="E18" s="816"/>
      <c r="F18" s="816"/>
      <c r="G18" s="816"/>
      <c r="H18" s="817"/>
      <c r="I18" s="1031"/>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818"/>
      <c r="B19" s="829"/>
      <c r="C19" s="816"/>
      <c r="D19" s="816"/>
      <c r="E19" s="816"/>
      <c r="F19" s="816"/>
      <c r="G19" s="816"/>
      <c r="H19" s="817"/>
      <c r="I19" s="1031"/>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1053">
        <v>2</v>
      </c>
      <c r="B20" s="829" t="s">
        <v>21</v>
      </c>
      <c r="C20" s="816"/>
      <c r="D20" s="816"/>
      <c r="E20" s="816"/>
      <c r="F20" s="816"/>
      <c r="G20" s="816"/>
      <c r="H20" s="817"/>
      <c r="I20" s="1031"/>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1054"/>
      <c r="B21" s="829" t="s">
        <v>769</v>
      </c>
      <c r="C21" s="816"/>
      <c r="D21" s="816"/>
      <c r="E21" s="816"/>
      <c r="F21" s="816"/>
      <c r="G21" s="816"/>
      <c r="H21" s="817"/>
      <c r="I21" s="1031"/>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1054"/>
      <c r="B22" s="829" t="s">
        <v>770</v>
      </c>
      <c r="C22" s="816"/>
      <c r="D22" s="816"/>
      <c r="E22" s="816"/>
      <c r="F22" s="816"/>
      <c r="G22" s="816"/>
      <c r="H22" s="817"/>
      <c r="I22" s="1031"/>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1053"/>
      <c r="B23" s="829"/>
      <c r="C23" s="816"/>
      <c r="D23" s="816"/>
      <c r="E23" s="816"/>
      <c r="F23" s="816"/>
      <c r="G23" s="816"/>
      <c r="H23" s="817"/>
      <c r="I23" s="1031"/>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1053"/>
      <c r="B24" s="1055" t="s">
        <v>771</v>
      </c>
      <c r="C24" s="816"/>
      <c r="D24" s="816"/>
      <c r="E24" s="1056"/>
      <c r="F24" s="816"/>
      <c r="G24" s="816"/>
      <c r="H24" s="817"/>
      <c r="I24" s="1031"/>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1054"/>
      <c r="B25" s="1055" t="s">
        <v>772</v>
      </c>
      <c r="C25" s="816"/>
      <c r="D25" s="816"/>
      <c r="E25" s="816"/>
      <c r="F25" s="816"/>
      <c r="G25" s="816"/>
      <c r="H25" s="817"/>
      <c r="I25" s="1031"/>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x14ac:dyDescent="0.25">
      <c r="A26" s="1053"/>
      <c r="B26" s="1055" t="s">
        <v>773</v>
      </c>
      <c r="C26" s="816"/>
      <c r="D26" s="816"/>
      <c r="E26" s="816"/>
      <c r="F26" s="816"/>
      <c r="G26" s="816"/>
      <c r="H26" s="817"/>
      <c r="I26" s="1031"/>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1053"/>
      <c r="B27" s="1055" t="s">
        <v>774</v>
      </c>
      <c r="C27" s="816"/>
      <c r="D27" s="816"/>
      <c r="E27" s="816"/>
      <c r="F27" s="816"/>
      <c r="G27" s="816"/>
      <c r="H27" s="817"/>
      <c r="I27" s="1031"/>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thickBot="1" x14ac:dyDescent="0.3">
      <c r="A28" s="1057"/>
      <c r="B28" s="1058"/>
      <c r="C28" s="1059"/>
      <c r="D28" s="1059"/>
      <c r="E28" s="1059"/>
      <c r="F28" s="1059"/>
      <c r="G28" s="1059"/>
      <c r="H28" s="1060"/>
      <c r="I28" s="1031"/>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1031"/>
      <c r="B29" s="1031"/>
      <c r="C29" s="1031"/>
      <c r="D29" s="1031"/>
      <c r="E29" s="1031"/>
      <c r="F29" s="1031"/>
      <c r="G29" s="1031"/>
      <c r="H29" s="1031"/>
      <c r="I29" s="1031"/>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1031" t="s">
        <v>28</v>
      </c>
      <c r="B30" s="1063" t="s">
        <v>789</v>
      </c>
      <c r="C30" s="1031"/>
      <c r="D30" s="1031"/>
      <c r="E30" s="1031"/>
      <c r="F30" s="1031"/>
      <c r="G30" s="1031"/>
      <c r="H30" s="1031"/>
      <c r="I30" s="1031"/>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1031"/>
      <c r="B31" s="1063" t="s">
        <v>790</v>
      </c>
      <c r="C31" s="1031"/>
      <c r="D31" s="1031"/>
      <c r="E31" s="1031"/>
      <c r="F31" s="1031"/>
      <c r="G31" s="1031"/>
      <c r="H31" s="1031"/>
      <c r="I31" s="1031"/>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1031"/>
      <c r="B32" s="1031"/>
      <c r="C32" s="1031"/>
      <c r="D32" s="1031"/>
      <c r="E32" s="1031"/>
      <c r="F32" s="1031"/>
      <c r="G32" s="1031"/>
      <c r="H32" s="1031"/>
      <c r="I32" s="1031"/>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1031"/>
      <c r="B33" s="1031"/>
      <c r="C33" s="1031"/>
      <c r="D33" s="1031"/>
      <c r="E33" s="1031"/>
      <c r="F33" s="1031"/>
      <c r="G33" s="1031"/>
      <c r="H33" s="1031"/>
      <c r="I33" s="1031"/>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1031" t="s">
        <v>40</v>
      </c>
      <c r="B34" s="1031"/>
      <c r="C34" s="1031"/>
      <c r="D34" s="1031"/>
      <c r="E34" s="1031"/>
      <c r="F34" s="1031"/>
      <c r="G34" s="1031"/>
      <c r="H34" s="1031"/>
      <c r="I34" s="1031"/>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1031" t="s">
        <v>791</v>
      </c>
      <c r="B35" s="1031"/>
      <c r="C35" s="1031"/>
      <c r="D35" s="1031"/>
      <c r="E35" s="1031"/>
      <c r="F35" s="1031"/>
      <c r="G35" s="1031"/>
      <c r="H35" s="1031"/>
      <c r="I35" s="1031"/>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1031"/>
      <c r="B36" s="1063" t="s">
        <v>792</v>
      </c>
      <c r="C36" s="1031"/>
      <c r="D36" s="1031"/>
      <c r="E36" s="1031"/>
      <c r="F36" s="1031"/>
      <c r="G36" s="1031"/>
      <c r="H36" s="1031"/>
      <c r="I36" s="1031"/>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1031"/>
      <c r="B37" s="1063" t="s">
        <v>793</v>
      </c>
      <c r="C37" s="1031"/>
      <c r="D37" s="1031"/>
      <c r="E37" s="1031"/>
      <c r="F37" s="1031"/>
      <c r="G37" s="1031"/>
      <c r="H37" s="1031"/>
      <c r="I37" s="1031"/>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1031"/>
      <c r="B38" s="1031"/>
      <c r="C38" s="1031"/>
      <c r="D38" s="1031"/>
      <c r="E38" s="1031"/>
      <c r="F38" s="1031"/>
      <c r="G38" s="1031"/>
      <c r="H38" s="1031"/>
      <c r="I38" s="1031"/>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1031" t="s">
        <v>794</v>
      </c>
      <c r="B39" s="1031"/>
      <c r="C39" s="1031"/>
      <c r="D39" s="1031"/>
      <c r="E39" s="1031"/>
      <c r="F39" s="1031"/>
      <c r="G39" s="1031"/>
      <c r="H39" s="1031"/>
      <c r="I39" s="1031"/>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1031"/>
      <c r="B40" s="1031" t="s">
        <v>795</v>
      </c>
      <c r="C40" s="1031"/>
      <c r="D40" s="1031"/>
      <c r="E40" s="1031"/>
      <c r="F40" s="1031"/>
      <c r="G40" s="1031"/>
      <c r="H40" s="1031"/>
      <c r="I40" s="1031"/>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1031"/>
      <c r="B41" s="1031" t="s">
        <v>796</v>
      </c>
      <c r="C41" s="1031"/>
      <c r="D41" s="1031"/>
      <c r="E41" s="1031"/>
      <c r="F41" s="1031"/>
      <c r="G41" s="1031"/>
      <c r="H41" s="1031"/>
      <c r="I41" s="1031"/>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1031"/>
      <c r="B42" s="1031"/>
      <c r="C42" s="1031"/>
      <c r="D42" s="1031"/>
      <c r="E42" s="1031"/>
      <c r="F42" s="1031"/>
      <c r="G42" s="1031"/>
      <c r="H42" s="1031"/>
      <c r="I42" s="1031"/>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1031" t="s">
        <v>797</v>
      </c>
      <c r="B43" s="1031"/>
      <c r="C43" s="1031"/>
      <c r="D43" s="1031"/>
      <c r="E43" s="1031"/>
      <c r="F43" s="1031"/>
      <c r="G43" s="1031"/>
      <c r="H43" s="1031"/>
      <c r="I43" s="1031"/>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1031"/>
      <c r="B44" s="1031" t="s">
        <v>798</v>
      </c>
      <c r="C44" s="1031"/>
      <c r="D44" s="1031"/>
      <c r="E44" s="1031"/>
      <c r="F44" s="1031"/>
      <c r="G44" s="1031"/>
      <c r="H44" s="1031"/>
      <c r="I44" s="1031"/>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1031"/>
      <c r="B45" s="1031" t="s">
        <v>799</v>
      </c>
      <c r="C45" s="1031"/>
      <c r="D45" s="1031"/>
      <c r="E45" s="1031"/>
      <c r="F45" s="1031"/>
      <c r="G45" s="1031"/>
      <c r="H45" s="1031"/>
      <c r="I45" s="1031"/>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1031"/>
      <c r="B46" s="1031"/>
      <c r="C46" s="1031"/>
      <c r="D46" s="1031"/>
      <c r="E46" s="1031"/>
      <c r="F46" s="1031"/>
      <c r="G46" s="1031"/>
      <c r="H46" s="1031"/>
      <c r="I46" s="1031"/>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1031" t="s">
        <v>800</v>
      </c>
      <c r="B47" s="1031"/>
      <c r="C47" s="1031"/>
      <c r="D47" s="1031"/>
      <c r="E47" s="1031"/>
      <c r="F47" s="1031"/>
      <c r="G47" s="1031"/>
      <c r="H47" s="1031"/>
      <c r="I47" s="1031"/>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1031"/>
      <c r="B48" s="1031" t="s">
        <v>801</v>
      </c>
      <c r="C48" s="1031"/>
      <c r="D48" s="1031"/>
      <c r="E48" s="1031"/>
      <c r="F48" s="1031"/>
      <c r="G48" s="1031"/>
      <c r="H48" s="1031"/>
      <c r="I48" s="1031"/>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1031"/>
      <c r="B49" s="1031" t="s">
        <v>802</v>
      </c>
      <c r="C49" s="1031"/>
      <c r="D49" s="1031"/>
      <c r="E49" s="1031"/>
      <c r="F49" s="1031"/>
      <c r="G49" s="1031"/>
      <c r="H49" s="1031"/>
      <c r="I49" s="1031"/>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1031"/>
      <c r="B50" s="1031"/>
      <c r="C50" s="1031"/>
      <c r="D50" s="1031"/>
      <c r="E50" s="1031"/>
      <c r="F50" s="1031"/>
      <c r="G50" s="1031"/>
      <c r="H50" s="1031"/>
      <c r="I50" s="1031"/>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1031"/>
      <c r="B51" s="1031"/>
      <c r="C51" s="1031"/>
      <c r="D51" s="1031"/>
      <c r="E51" s="1031"/>
      <c r="F51" s="1031"/>
      <c r="G51" s="1031"/>
      <c r="H51" s="1031"/>
      <c r="I51" s="1031"/>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1031"/>
      <c r="B52" s="1031"/>
      <c r="C52" s="1031"/>
      <c r="D52" s="1031"/>
      <c r="E52" s="1031"/>
      <c r="F52" s="1031"/>
      <c r="G52" s="1031"/>
      <c r="H52" s="1031"/>
      <c r="I52" s="1031"/>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1031"/>
      <c r="B53" s="1031"/>
      <c r="C53" s="1031"/>
      <c r="D53" s="1031"/>
      <c r="E53" s="1031"/>
      <c r="F53" s="1031"/>
      <c r="G53" s="1031"/>
      <c r="H53" s="1031"/>
      <c r="I53" s="1031"/>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1031"/>
      <c r="B54" s="1031"/>
      <c r="C54" s="1031"/>
      <c r="D54" s="1031"/>
      <c r="E54" s="1031"/>
      <c r="F54" s="1031"/>
      <c r="G54" s="1031"/>
      <c r="H54" s="1031"/>
      <c r="I54" s="1031"/>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1031"/>
      <c r="B55" s="1031"/>
      <c r="C55" s="1031"/>
      <c r="D55" s="1031"/>
      <c r="E55" s="1031"/>
      <c r="F55" s="1031"/>
      <c r="G55" s="1031"/>
      <c r="H55" s="1031"/>
      <c r="I55" s="1031"/>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1031"/>
      <c r="B56" s="1031"/>
      <c r="C56" s="1031"/>
      <c r="D56" s="1031"/>
      <c r="E56" s="1031"/>
      <c r="F56" s="1031"/>
      <c r="G56" s="1031"/>
      <c r="H56" s="1031"/>
      <c r="I56" s="1031"/>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1031"/>
      <c r="B57" s="1031"/>
      <c r="C57" s="1031"/>
      <c r="D57" s="1031"/>
      <c r="E57" s="1031"/>
      <c r="F57" s="1031"/>
      <c r="G57" s="1031"/>
      <c r="H57" s="1031"/>
      <c r="I57" s="1031"/>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1031"/>
      <c r="B58" s="1031"/>
      <c r="C58" s="1031"/>
      <c r="D58" s="1031"/>
      <c r="E58" s="1031"/>
      <c r="F58" s="1031"/>
      <c r="G58" s="1031"/>
      <c r="H58" s="1031"/>
      <c r="I58" s="1031"/>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1031"/>
      <c r="B59" s="1031"/>
      <c r="C59" s="1031"/>
      <c r="D59" s="1031"/>
      <c r="E59" s="1031"/>
      <c r="F59" s="1031"/>
      <c r="G59" s="1031"/>
      <c r="H59" s="1031"/>
      <c r="I59" s="1031"/>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1031"/>
      <c r="B60" s="1031"/>
      <c r="C60" s="1031"/>
      <c r="D60" s="1031"/>
      <c r="E60" s="1031"/>
      <c r="F60" s="1031"/>
      <c r="G60" s="1031"/>
      <c r="H60" s="1031"/>
      <c r="I60" s="1031"/>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1031"/>
      <c r="B61" s="1031"/>
      <c r="C61" s="1031"/>
      <c r="D61" s="1031"/>
      <c r="E61" s="1031"/>
      <c r="F61" s="1031"/>
      <c r="G61" s="1031"/>
      <c r="H61" s="1031"/>
      <c r="I61" s="1031"/>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mergeCells count="1">
    <mergeCell ref="C6:G6"/>
  </mergeCells>
  <pageMargins left="0.75" right="0.75" top="1" bottom="1" header="0.5" footer="0.5"/>
  <pageSetup scale="86" firstPageNumber="0" orientation="portrait"/>
  <headerFooter alignWithMargins="0">
    <oddHeader>&amp;CSpring 2018 Exam 5 Make-Up</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Z200"/>
  <sheetViews>
    <sheetView zoomScale="90" zoomScaleNormal="90" workbookViewId="0"/>
  </sheetViews>
  <sheetFormatPr defaultColWidth="0" defaultRowHeight="0" customHeight="1" zeroHeight="1" x14ac:dyDescent="0.2"/>
  <cols>
    <col min="1" max="1" width="8.5" style="578" customWidth="1"/>
    <col min="2" max="2" width="17.25" style="578" customWidth="1"/>
    <col min="3" max="3" width="19.5" style="578" customWidth="1"/>
    <col min="4" max="4" width="17.25" style="578" customWidth="1"/>
    <col min="5" max="5" width="15.875" style="578" customWidth="1"/>
    <col min="6" max="6" width="16.125" style="578" customWidth="1"/>
    <col min="7" max="7" width="15.5" style="578" customWidth="1"/>
    <col min="8" max="8" width="16.5" style="578" bestFit="1" customWidth="1"/>
    <col min="9" max="9" width="14.125" style="578" bestFit="1" customWidth="1"/>
    <col min="10" max="10" width="13" style="578" bestFit="1" customWidth="1"/>
    <col min="11" max="49" width="7.625" style="578" customWidth="1"/>
    <col min="50" max="16384" width="7.625" style="578" hidden="1"/>
  </cols>
  <sheetData>
    <row r="1" spans="1:52" ht="15.75" customHeight="1" thickBot="1" x14ac:dyDescent="0.25">
      <c r="A1" s="1">
        <v>26</v>
      </c>
      <c r="B1" s="2"/>
      <c r="C1" s="3"/>
      <c r="D1" s="3"/>
      <c r="E1" s="3"/>
      <c r="F1" s="3"/>
      <c r="G1" s="4"/>
      <c r="H1" s="577"/>
      <c r="I1" s="577"/>
      <c r="J1" s="577"/>
      <c r="K1" s="577"/>
      <c r="L1" s="577"/>
      <c r="M1" s="577"/>
      <c r="N1" s="577"/>
      <c r="O1" s="577"/>
      <c r="P1" s="577"/>
      <c r="Q1" s="577"/>
      <c r="R1" s="577"/>
      <c r="S1" s="577"/>
      <c r="T1" s="577"/>
      <c r="U1" s="577"/>
      <c r="V1" s="577"/>
      <c r="W1" s="577"/>
      <c r="X1" s="577"/>
      <c r="Y1" s="577"/>
      <c r="Z1" s="577"/>
      <c r="AA1" s="577"/>
      <c r="AB1" s="577"/>
      <c r="AC1" s="577"/>
      <c r="AD1" s="577"/>
      <c r="AE1" s="577"/>
      <c r="AF1" s="577"/>
      <c r="AG1" s="577"/>
      <c r="AH1" s="577"/>
      <c r="AI1" s="577"/>
      <c r="AJ1" s="577"/>
      <c r="AK1" s="577"/>
      <c r="AL1" s="577"/>
      <c r="AM1" s="577"/>
      <c r="AN1" s="577"/>
      <c r="AO1" s="577"/>
      <c r="AP1" s="577"/>
      <c r="AQ1" s="577"/>
      <c r="AR1" s="577"/>
      <c r="AS1" s="577"/>
      <c r="AT1" s="577"/>
      <c r="AU1" s="577"/>
      <c r="AV1" s="577"/>
      <c r="AW1" s="577"/>
      <c r="AX1" s="577"/>
      <c r="AY1" s="577"/>
      <c r="AZ1" s="577"/>
    </row>
    <row r="2" spans="1:52" ht="15.75" customHeight="1" x14ac:dyDescent="0.2">
      <c r="A2" s="579" t="s">
        <v>0</v>
      </c>
      <c r="B2" s="580"/>
      <c r="C2" s="8"/>
      <c r="D2" s="8"/>
      <c r="E2" s="8"/>
      <c r="F2" s="8"/>
      <c r="G2" s="9"/>
      <c r="H2" s="577"/>
      <c r="I2" s="577"/>
      <c r="J2" s="577"/>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577"/>
      <c r="AN2" s="577"/>
      <c r="AO2" s="577"/>
      <c r="AP2" s="577"/>
      <c r="AQ2" s="577"/>
      <c r="AR2" s="577"/>
      <c r="AS2" s="577"/>
      <c r="AT2" s="577"/>
      <c r="AU2" s="577"/>
      <c r="AV2" s="577"/>
      <c r="AW2" s="577"/>
      <c r="AX2" s="577"/>
      <c r="AY2" s="577"/>
      <c r="AZ2" s="577"/>
    </row>
    <row r="3" spans="1:52" ht="15.75" customHeight="1" x14ac:dyDescent="0.2">
      <c r="A3" s="583">
        <v>1.75</v>
      </c>
      <c r="B3" s="11"/>
      <c r="C3" s="8"/>
      <c r="D3" s="8"/>
      <c r="E3" s="8"/>
      <c r="F3" s="8"/>
      <c r="G3" s="9"/>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577"/>
      <c r="AW3" s="577"/>
      <c r="AX3" s="577"/>
      <c r="AY3" s="577"/>
      <c r="AZ3" s="577"/>
    </row>
    <row r="4" spans="1:52" ht="15.75" customHeight="1" x14ac:dyDescent="0.2">
      <c r="A4" s="584"/>
      <c r="B4" s="8" t="s">
        <v>414</v>
      </c>
      <c r="C4" s="8"/>
      <c r="D4" s="8"/>
      <c r="E4" s="8"/>
      <c r="F4" s="8"/>
      <c r="G4" s="9"/>
      <c r="H4" s="577"/>
      <c r="I4" s="577"/>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c r="AT4" s="577"/>
      <c r="AU4" s="577"/>
      <c r="AV4" s="577"/>
      <c r="AW4" s="577"/>
      <c r="AX4" s="577"/>
      <c r="AY4" s="577"/>
      <c r="AZ4" s="577"/>
    </row>
    <row r="5" spans="1:52" ht="15.75" customHeight="1" thickBot="1" x14ac:dyDescent="0.25">
      <c r="A5" s="584"/>
      <c r="B5" s="1064"/>
      <c r="C5" s="1065"/>
      <c r="D5" s="8"/>
      <c r="E5" s="1066"/>
      <c r="F5" s="1066"/>
      <c r="G5" s="1067"/>
      <c r="H5" s="577"/>
      <c r="I5" s="577"/>
      <c r="J5" s="577"/>
      <c r="K5" s="577"/>
      <c r="L5" s="577"/>
      <c r="M5" s="577"/>
      <c r="N5" s="577"/>
      <c r="O5" s="577"/>
      <c r="P5" s="577"/>
      <c r="Q5" s="577"/>
      <c r="R5" s="577"/>
      <c r="S5" s="577"/>
      <c r="T5" s="577"/>
      <c r="U5" s="577"/>
      <c r="V5" s="577"/>
      <c r="W5" s="577"/>
      <c r="X5" s="577"/>
      <c r="Y5" s="577"/>
      <c r="Z5" s="577"/>
      <c r="AA5" s="577"/>
      <c r="AB5" s="577"/>
      <c r="AC5" s="577"/>
      <c r="AD5" s="577"/>
      <c r="AE5" s="577"/>
      <c r="AF5" s="577"/>
      <c r="AG5" s="577"/>
      <c r="AH5" s="577"/>
      <c r="AI5" s="577"/>
      <c r="AJ5" s="577"/>
      <c r="AK5" s="577"/>
      <c r="AL5" s="577"/>
      <c r="AM5" s="577"/>
      <c r="AN5" s="577"/>
      <c r="AO5" s="577"/>
      <c r="AP5" s="577"/>
      <c r="AQ5" s="577"/>
      <c r="AR5" s="577"/>
      <c r="AS5" s="577"/>
      <c r="AT5" s="577"/>
      <c r="AU5" s="577"/>
      <c r="AV5" s="577"/>
      <c r="AW5" s="577"/>
      <c r="AX5" s="577"/>
      <c r="AY5" s="577"/>
      <c r="AZ5" s="577"/>
    </row>
    <row r="6" spans="1:52" ht="15.75" customHeight="1" x14ac:dyDescent="0.2">
      <c r="A6" s="584"/>
      <c r="B6" s="1068"/>
      <c r="C6" s="1069" t="s">
        <v>803</v>
      </c>
      <c r="D6" s="1070"/>
      <c r="E6" s="1071"/>
      <c r="F6" s="1071"/>
      <c r="G6" s="1067"/>
      <c r="H6" s="577"/>
      <c r="I6" s="577"/>
      <c r="J6" s="577"/>
      <c r="K6" s="577"/>
      <c r="L6" s="577"/>
      <c r="M6" s="577"/>
      <c r="N6" s="577"/>
      <c r="O6" s="577"/>
      <c r="P6" s="577"/>
      <c r="Q6" s="577"/>
      <c r="R6" s="577"/>
      <c r="S6" s="577"/>
      <c r="T6" s="577"/>
      <c r="U6" s="577"/>
      <c r="V6" s="577"/>
      <c r="W6" s="577"/>
      <c r="X6" s="577"/>
      <c r="Y6" s="577"/>
      <c r="Z6" s="577"/>
      <c r="AA6" s="577"/>
      <c r="AB6" s="577"/>
      <c r="AC6" s="577"/>
      <c r="AD6" s="577"/>
      <c r="AE6" s="577"/>
      <c r="AF6" s="577"/>
      <c r="AG6" s="577"/>
      <c r="AH6" s="577"/>
      <c r="AI6" s="577"/>
      <c r="AJ6" s="577"/>
      <c r="AK6" s="577"/>
      <c r="AL6" s="577"/>
      <c r="AM6" s="577"/>
      <c r="AN6" s="577"/>
      <c r="AO6" s="577"/>
      <c r="AP6" s="577"/>
      <c r="AQ6" s="577"/>
      <c r="AR6" s="577"/>
      <c r="AS6" s="577"/>
      <c r="AT6" s="577"/>
      <c r="AU6" s="577"/>
      <c r="AV6" s="577"/>
      <c r="AW6" s="577"/>
      <c r="AX6" s="577"/>
      <c r="AY6" s="577"/>
      <c r="AZ6" s="577"/>
    </row>
    <row r="7" spans="1:52" ht="15.75" customHeight="1" x14ac:dyDescent="0.2">
      <c r="A7" s="584"/>
      <c r="B7" s="1072" t="s">
        <v>135</v>
      </c>
      <c r="C7" s="1073" t="s">
        <v>804</v>
      </c>
      <c r="D7" s="1074" t="s">
        <v>804</v>
      </c>
      <c r="E7" s="18"/>
      <c r="F7" s="18"/>
      <c r="G7" s="1075"/>
      <c r="H7" s="577"/>
      <c r="I7" s="577"/>
      <c r="J7" s="577"/>
      <c r="K7" s="577"/>
      <c r="L7" s="577"/>
      <c r="M7" s="577"/>
      <c r="N7" s="577"/>
      <c r="O7" s="577"/>
      <c r="P7" s="577"/>
      <c r="Q7" s="577"/>
      <c r="R7" s="577"/>
      <c r="S7" s="577"/>
      <c r="T7" s="577"/>
      <c r="U7" s="577"/>
      <c r="V7" s="577"/>
      <c r="W7" s="577"/>
      <c r="X7" s="577"/>
      <c r="Y7" s="577"/>
      <c r="Z7" s="577"/>
      <c r="AA7" s="577"/>
      <c r="AB7" s="577"/>
      <c r="AC7" s="577"/>
      <c r="AD7" s="577"/>
      <c r="AE7" s="577"/>
      <c r="AF7" s="577"/>
      <c r="AG7" s="577"/>
      <c r="AH7" s="577"/>
      <c r="AI7" s="577"/>
      <c r="AJ7" s="577"/>
      <c r="AK7" s="577"/>
      <c r="AL7" s="577"/>
      <c r="AM7" s="577"/>
      <c r="AN7" s="577"/>
      <c r="AO7" s="577"/>
      <c r="AP7" s="577"/>
      <c r="AQ7" s="577"/>
      <c r="AR7" s="577"/>
      <c r="AS7" s="577"/>
      <c r="AT7" s="577"/>
      <c r="AU7" s="577"/>
      <c r="AV7" s="577"/>
      <c r="AW7" s="577"/>
      <c r="AX7" s="577"/>
      <c r="AY7" s="577"/>
      <c r="AZ7" s="577"/>
    </row>
    <row r="8" spans="1:52" ht="15.75" customHeight="1" thickBot="1" x14ac:dyDescent="0.25">
      <c r="A8" s="584"/>
      <c r="B8" s="20" t="s">
        <v>83</v>
      </c>
      <c r="C8" s="1076">
        <v>42735</v>
      </c>
      <c r="D8" s="1077">
        <v>42916</v>
      </c>
      <c r="E8" s="18"/>
      <c r="F8" s="8"/>
      <c r="G8" s="1075"/>
      <c r="H8" s="577"/>
      <c r="I8" s="577"/>
      <c r="J8" s="577"/>
      <c r="K8" s="577"/>
      <c r="L8" s="577"/>
      <c r="M8" s="577"/>
      <c r="N8" s="577"/>
      <c r="O8" s="577"/>
      <c r="P8" s="577"/>
      <c r="Q8" s="577"/>
      <c r="R8" s="577"/>
      <c r="S8" s="577"/>
      <c r="T8" s="577"/>
      <c r="U8" s="577"/>
      <c r="V8" s="577"/>
      <c r="W8" s="577"/>
      <c r="X8" s="577"/>
      <c r="Y8" s="577"/>
      <c r="Z8" s="577"/>
      <c r="AA8" s="577"/>
      <c r="AB8" s="577"/>
      <c r="AC8" s="577"/>
      <c r="AD8" s="577"/>
      <c r="AE8" s="577"/>
      <c r="AF8" s="577"/>
      <c r="AG8" s="577"/>
      <c r="AH8" s="577"/>
      <c r="AI8" s="577"/>
      <c r="AJ8" s="577"/>
      <c r="AK8" s="577"/>
      <c r="AL8" s="577"/>
      <c r="AM8" s="577"/>
      <c r="AN8" s="577"/>
      <c r="AO8" s="577"/>
      <c r="AP8" s="577"/>
      <c r="AQ8" s="577"/>
      <c r="AR8" s="577"/>
      <c r="AS8" s="577"/>
      <c r="AT8" s="577"/>
      <c r="AU8" s="577"/>
      <c r="AV8" s="577"/>
      <c r="AW8" s="577"/>
      <c r="AX8" s="577"/>
      <c r="AY8" s="577"/>
      <c r="AZ8" s="577"/>
    </row>
    <row r="9" spans="1:52" ht="15.75" customHeight="1" x14ac:dyDescent="0.2">
      <c r="A9" s="584"/>
      <c r="B9" s="595">
        <v>2014</v>
      </c>
      <c r="C9" s="1078">
        <v>71000</v>
      </c>
      <c r="D9" s="531">
        <v>73000</v>
      </c>
      <c r="E9" s="18"/>
      <c r="F9" s="8"/>
      <c r="G9" s="1075"/>
      <c r="H9" s="577"/>
      <c r="I9" s="577"/>
      <c r="J9" s="577"/>
      <c r="K9" s="577"/>
      <c r="L9" s="577"/>
      <c r="M9" s="577"/>
      <c r="N9" s="577"/>
      <c r="O9" s="577"/>
      <c r="P9" s="577"/>
      <c r="Q9" s="577"/>
      <c r="R9" s="577"/>
      <c r="S9" s="577"/>
      <c r="T9" s="577"/>
      <c r="U9" s="577"/>
      <c r="V9" s="577"/>
      <c r="W9" s="577"/>
      <c r="X9" s="577"/>
      <c r="Y9" s="577"/>
      <c r="Z9" s="577"/>
      <c r="AA9" s="577"/>
      <c r="AB9" s="577"/>
      <c r="AC9" s="577"/>
      <c r="AD9" s="577"/>
      <c r="AE9" s="577"/>
      <c r="AF9" s="577"/>
      <c r="AG9" s="577"/>
      <c r="AH9" s="577"/>
      <c r="AI9" s="577"/>
      <c r="AJ9" s="577"/>
      <c r="AK9" s="577"/>
      <c r="AL9" s="577"/>
      <c r="AM9" s="577"/>
      <c r="AN9" s="577"/>
      <c r="AO9" s="577"/>
      <c r="AP9" s="577"/>
      <c r="AQ9" s="577"/>
      <c r="AR9" s="577"/>
      <c r="AS9" s="577"/>
      <c r="AT9" s="577"/>
      <c r="AU9" s="577"/>
      <c r="AV9" s="577"/>
      <c r="AW9" s="577"/>
      <c r="AX9" s="577"/>
      <c r="AY9" s="577"/>
      <c r="AZ9" s="577"/>
    </row>
    <row r="10" spans="1:52" ht="15.75" customHeight="1" x14ac:dyDescent="0.2">
      <c r="A10" s="584"/>
      <c r="B10" s="595">
        <v>2015</v>
      </c>
      <c r="C10" s="1078">
        <v>62000</v>
      </c>
      <c r="D10" s="531">
        <v>68000</v>
      </c>
      <c r="E10" s="8"/>
      <c r="F10" s="8"/>
      <c r="G10" s="9"/>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77"/>
      <c r="AF10" s="577"/>
      <c r="AG10" s="577"/>
      <c r="AH10" s="577"/>
      <c r="AI10" s="577"/>
      <c r="AJ10" s="577"/>
      <c r="AK10" s="577"/>
      <c r="AL10" s="577"/>
      <c r="AM10" s="577"/>
      <c r="AN10" s="577"/>
      <c r="AO10" s="577"/>
      <c r="AP10" s="577"/>
      <c r="AQ10" s="577"/>
      <c r="AR10" s="577"/>
      <c r="AS10" s="577"/>
      <c r="AT10" s="577"/>
      <c r="AU10" s="577"/>
      <c r="AV10" s="577"/>
      <c r="AW10" s="577"/>
      <c r="AX10" s="577"/>
      <c r="AY10" s="577"/>
      <c r="AZ10" s="577"/>
    </row>
    <row r="11" spans="1:52" ht="15.75" customHeight="1" thickBot="1" x14ac:dyDescent="0.25">
      <c r="A11" s="584"/>
      <c r="B11" s="601">
        <v>2016</v>
      </c>
      <c r="C11" s="1079">
        <v>40000</v>
      </c>
      <c r="D11" s="533">
        <v>48000</v>
      </c>
      <c r="E11" s="1080"/>
      <c r="F11" s="8"/>
      <c r="G11" s="1067"/>
      <c r="H11" s="577"/>
      <c r="I11" s="577"/>
      <c r="J11" s="577"/>
      <c r="K11" s="577"/>
      <c r="L11" s="577"/>
      <c r="M11" s="577"/>
      <c r="N11" s="577"/>
      <c r="O11" s="577"/>
      <c r="P11" s="577"/>
      <c r="Q11" s="577"/>
      <c r="R11" s="577"/>
      <c r="S11" s="577"/>
      <c r="T11" s="577"/>
      <c r="U11" s="577"/>
      <c r="V11" s="577"/>
      <c r="W11" s="577"/>
      <c r="X11" s="577"/>
      <c r="Y11" s="577"/>
      <c r="Z11" s="577"/>
      <c r="AA11" s="577"/>
      <c r="AB11" s="577"/>
      <c r="AC11" s="577"/>
      <c r="AD11" s="577"/>
      <c r="AE11" s="577"/>
      <c r="AF11" s="577"/>
      <c r="AG11" s="577"/>
      <c r="AH11" s="577"/>
      <c r="AI11" s="577"/>
      <c r="AJ11" s="577"/>
      <c r="AK11" s="577"/>
      <c r="AL11" s="577"/>
      <c r="AM11" s="577"/>
      <c r="AN11" s="577"/>
      <c r="AO11" s="577"/>
      <c r="AP11" s="577"/>
      <c r="AQ11" s="577"/>
      <c r="AR11" s="577"/>
      <c r="AS11" s="577"/>
      <c r="AT11" s="577"/>
      <c r="AU11" s="577"/>
      <c r="AV11" s="577"/>
      <c r="AW11" s="577"/>
      <c r="AX11" s="577"/>
      <c r="AY11" s="577"/>
      <c r="AZ11" s="577"/>
    </row>
    <row r="12" spans="1:52" ht="15.75" customHeight="1" thickBot="1" x14ac:dyDescent="0.25">
      <c r="A12" s="584"/>
      <c r="B12" s="18"/>
      <c r="C12" s="1081"/>
      <c r="D12" s="1081"/>
      <c r="E12" s="1082"/>
      <c r="F12" s="1083"/>
      <c r="G12" s="106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7"/>
      <c r="AL12" s="577"/>
      <c r="AM12" s="577"/>
      <c r="AN12" s="577"/>
      <c r="AO12" s="577"/>
      <c r="AP12" s="577"/>
      <c r="AQ12" s="577"/>
      <c r="AR12" s="577"/>
      <c r="AS12" s="577"/>
      <c r="AT12" s="577"/>
      <c r="AU12" s="577"/>
      <c r="AV12" s="577"/>
      <c r="AW12" s="577"/>
      <c r="AX12" s="577"/>
      <c r="AY12" s="577"/>
      <c r="AZ12" s="577"/>
    </row>
    <row r="13" spans="1:52" ht="15.75" customHeight="1" thickBot="1" x14ac:dyDescent="0.25">
      <c r="A13" s="584"/>
      <c r="B13" s="534"/>
      <c r="C13" s="1084" t="s">
        <v>805</v>
      </c>
      <c r="D13" s="1084"/>
      <c r="E13" s="1084"/>
      <c r="F13" s="1085"/>
      <c r="G13" s="1075"/>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577"/>
      <c r="AJ13" s="577"/>
      <c r="AK13" s="577"/>
      <c r="AL13" s="577"/>
      <c r="AM13" s="577"/>
      <c r="AN13" s="577"/>
      <c r="AO13" s="577"/>
      <c r="AP13" s="577"/>
      <c r="AQ13" s="577"/>
      <c r="AR13" s="577"/>
      <c r="AS13" s="577"/>
      <c r="AT13" s="577"/>
      <c r="AU13" s="577"/>
      <c r="AV13" s="577"/>
      <c r="AW13" s="577"/>
      <c r="AX13" s="577"/>
      <c r="AY13" s="577"/>
      <c r="AZ13" s="577"/>
    </row>
    <row r="14" spans="1:52" ht="15.75" customHeight="1" thickBot="1" x14ac:dyDescent="0.25">
      <c r="A14" s="1086"/>
      <c r="B14" s="590"/>
      <c r="C14" s="1087" t="s">
        <v>806</v>
      </c>
      <c r="D14" s="1088" t="s">
        <v>807</v>
      </c>
      <c r="E14" s="1088" t="s">
        <v>185</v>
      </c>
      <c r="F14" s="1089" t="s">
        <v>588</v>
      </c>
      <c r="G14" s="9"/>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577"/>
      <c r="AJ14" s="577"/>
      <c r="AK14" s="577"/>
      <c r="AL14" s="577"/>
      <c r="AM14" s="577"/>
      <c r="AN14" s="577"/>
      <c r="AO14" s="577"/>
      <c r="AP14" s="577"/>
      <c r="AQ14" s="577"/>
      <c r="AR14" s="577"/>
      <c r="AS14" s="577"/>
      <c r="AT14" s="577"/>
      <c r="AU14" s="577"/>
      <c r="AV14" s="577"/>
      <c r="AW14" s="577"/>
      <c r="AX14" s="577"/>
      <c r="AY14" s="577"/>
      <c r="AZ14" s="577"/>
    </row>
    <row r="15" spans="1:52" ht="15.75" customHeight="1" x14ac:dyDescent="0.2">
      <c r="A15" s="1086"/>
      <c r="B15" s="1090" t="s">
        <v>808</v>
      </c>
      <c r="C15" s="1091">
        <v>1.5</v>
      </c>
      <c r="D15" s="1092">
        <v>1.2</v>
      </c>
      <c r="E15" s="1092">
        <v>1.05</v>
      </c>
      <c r="F15" s="1093">
        <v>1</v>
      </c>
      <c r="G15" s="9"/>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N15" s="577"/>
      <c r="AO15" s="577"/>
      <c r="AP15" s="577"/>
      <c r="AQ15" s="577"/>
      <c r="AR15" s="577"/>
      <c r="AS15" s="577"/>
      <c r="AT15" s="577"/>
      <c r="AU15" s="577"/>
      <c r="AV15" s="577"/>
      <c r="AW15" s="577"/>
      <c r="AX15" s="577"/>
      <c r="AY15" s="577"/>
      <c r="AZ15" s="577"/>
    </row>
    <row r="16" spans="1:52" ht="15.75" customHeight="1" thickBot="1" x14ac:dyDescent="0.25">
      <c r="A16" s="1086"/>
      <c r="B16" s="601" t="s">
        <v>809</v>
      </c>
      <c r="C16" s="1094">
        <v>1.77</v>
      </c>
      <c r="D16" s="1094">
        <v>1.3</v>
      </c>
      <c r="E16" s="1094">
        <v>1.07</v>
      </c>
      <c r="F16" s="1095">
        <v>1</v>
      </c>
      <c r="G16" s="9"/>
      <c r="H16" s="577"/>
      <c r="I16" s="577"/>
      <c r="J16" s="577"/>
      <c r="K16" s="577"/>
      <c r="L16" s="577"/>
      <c r="M16" s="577"/>
      <c r="N16" s="577"/>
      <c r="O16" s="577"/>
      <c r="P16" s="577"/>
      <c r="Q16" s="577"/>
      <c r="R16" s="577"/>
      <c r="S16" s="577"/>
      <c r="T16" s="577"/>
      <c r="U16" s="577"/>
      <c r="V16" s="577"/>
      <c r="W16" s="577"/>
      <c r="X16" s="577"/>
      <c r="Y16" s="577"/>
      <c r="Z16" s="577"/>
      <c r="AA16" s="577"/>
      <c r="AB16" s="577"/>
      <c r="AC16" s="577"/>
      <c r="AD16" s="577"/>
      <c r="AE16" s="577"/>
      <c r="AF16" s="577"/>
      <c r="AG16" s="577"/>
      <c r="AH16" s="577"/>
      <c r="AI16" s="577"/>
      <c r="AJ16" s="577"/>
      <c r="AK16" s="577"/>
      <c r="AL16" s="577"/>
      <c r="AM16" s="577"/>
      <c r="AN16" s="577"/>
      <c r="AO16" s="577"/>
      <c r="AP16" s="577"/>
      <c r="AQ16" s="577"/>
      <c r="AR16" s="577"/>
      <c r="AS16" s="577"/>
      <c r="AT16" s="577"/>
      <c r="AU16" s="577"/>
      <c r="AV16" s="577"/>
      <c r="AW16" s="577"/>
      <c r="AX16" s="577"/>
      <c r="AY16" s="577"/>
      <c r="AZ16" s="577"/>
    </row>
    <row r="17" spans="1:52" ht="15.75" customHeight="1" x14ac:dyDescent="0.2">
      <c r="A17" s="1086"/>
      <c r="B17" s="8"/>
      <c r="C17" s="1096"/>
      <c r="D17" s="1096"/>
      <c r="E17" s="1096"/>
      <c r="F17" s="1096"/>
      <c r="G17" s="9"/>
      <c r="H17" s="577"/>
      <c r="I17" s="577"/>
      <c r="J17" s="577"/>
      <c r="K17" s="577"/>
      <c r="L17" s="577"/>
      <c r="M17" s="577"/>
      <c r="N17" s="577"/>
      <c r="O17" s="577"/>
      <c r="P17" s="577"/>
      <c r="Q17" s="577"/>
      <c r="R17" s="577"/>
      <c r="S17" s="577"/>
      <c r="T17" s="577"/>
      <c r="U17" s="577"/>
      <c r="V17" s="577"/>
      <c r="W17" s="577"/>
      <c r="X17" s="577"/>
      <c r="Y17" s="577"/>
      <c r="Z17" s="577"/>
      <c r="AA17" s="577"/>
      <c r="AB17" s="577"/>
      <c r="AC17" s="577"/>
      <c r="AD17" s="577"/>
      <c r="AE17" s="577"/>
      <c r="AF17" s="577"/>
      <c r="AG17" s="577"/>
      <c r="AH17" s="577"/>
      <c r="AI17" s="577"/>
      <c r="AJ17" s="577"/>
      <c r="AK17" s="577"/>
      <c r="AL17" s="577"/>
      <c r="AM17" s="577"/>
      <c r="AN17" s="577"/>
      <c r="AO17" s="577"/>
      <c r="AP17" s="577"/>
      <c r="AQ17" s="577"/>
      <c r="AR17" s="577"/>
      <c r="AS17" s="577"/>
      <c r="AT17" s="577"/>
      <c r="AU17" s="577"/>
      <c r="AV17" s="577"/>
      <c r="AW17" s="577"/>
      <c r="AX17" s="577"/>
      <c r="AY17" s="577"/>
      <c r="AZ17" s="577"/>
    </row>
    <row r="18" spans="1:52" ht="15.75" customHeight="1" x14ac:dyDescent="0.2">
      <c r="A18" s="1086"/>
      <c r="B18" s="816" t="s">
        <v>810</v>
      </c>
      <c r="C18" s="1096"/>
      <c r="D18" s="1096"/>
      <c r="E18" s="1096"/>
      <c r="F18" s="1096"/>
      <c r="G18" s="9"/>
      <c r="H18" s="577"/>
      <c r="I18" s="577"/>
      <c r="J18" s="577"/>
      <c r="K18" s="577"/>
      <c r="L18" s="577"/>
      <c r="M18" s="577"/>
      <c r="N18" s="577"/>
      <c r="O18" s="577"/>
      <c r="P18" s="577"/>
      <c r="Q18" s="577"/>
      <c r="R18" s="577"/>
      <c r="S18" s="577"/>
      <c r="T18" s="577"/>
      <c r="U18" s="577"/>
      <c r="V18" s="577"/>
      <c r="W18" s="577"/>
      <c r="X18" s="577"/>
      <c r="Y18" s="577"/>
      <c r="Z18" s="577"/>
      <c r="AA18" s="577"/>
      <c r="AB18" s="577"/>
      <c r="AC18" s="577"/>
      <c r="AD18" s="577"/>
      <c r="AE18" s="577"/>
      <c r="AF18" s="577"/>
      <c r="AG18" s="577"/>
      <c r="AH18" s="577"/>
      <c r="AI18" s="577"/>
      <c r="AJ18" s="577"/>
      <c r="AK18" s="577"/>
      <c r="AL18" s="577"/>
      <c r="AM18" s="577"/>
      <c r="AN18" s="577"/>
      <c r="AO18" s="577"/>
      <c r="AP18" s="577"/>
      <c r="AQ18" s="577"/>
      <c r="AR18" s="577"/>
      <c r="AS18" s="577"/>
      <c r="AT18" s="577"/>
      <c r="AU18" s="577"/>
      <c r="AV18" s="577"/>
      <c r="AW18" s="577"/>
      <c r="AX18" s="577"/>
      <c r="AY18" s="577"/>
      <c r="AZ18" s="577"/>
    </row>
    <row r="19" spans="1:52" ht="15.75" customHeight="1" x14ac:dyDescent="0.2">
      <c r="A19" s="1086"/>
      <c r="B19" s="816" t="s">
        <v>575</v>
      </c>
      <c r="C19" s="8"/>
      <c r="D19" s="581"/>
      <c r="E19" s="581"/>
      <c r="F19" s="581"/>
      <c r="G19" s="582"/>
      <c r="H19" s="577"/>
      <c r="I19" s="577"/>
      <c r="J19" s="577"/>
      <c r="K19" s="577"/>
      <c r="L19" s="577"/>
      <c r="M19" s="577"/>
      <c r="N19" s="577"/>
      <c r="O19" s="577"/>
      <c r="P19" s="577"/>
      <c r="Q19" s="577"/>
      <c r="R19" s="577"/>
      <c r="S19" s="577"/>
      <c r="T19" s="577"/>
      <c r="U19" s="577"/>
      <c r="V19" s="577"/>
      <c r="W19" s="577"/>
      <c r="X19" s="577"/>
      <c r="Y19" s="577"/>
      <c r="Z19" s="577"/>
      <c r="AA19" s="577"/>
      <c r="AB19" s="577"/>
      <c r="AC19" s="577"/>
      <c r="AD19" s="577"/>
      <c r="AE19" s="577"/>
      <c r="AF19" s="577"/>
      <c r="AG19" s="577"/>
      <c r="AH19" s="577"/>
      <c r="AI19" s="577"/>
      <c r="AJ19" s="577"/>
      <c r="AK19" s="577"/>
      <c r="AL19" s="577"/>
      <c r="AM19" s="577"/>
      <c r="AN19" s="577"/>
      <c r="AO19" s="577"/>
      <c r="AP19" s="577"/>
      <c r="AQ19" s="577"/>
      <c r="AR19" s="577"/>
      <c r="AS19" s="577"/>
      <c r="AT19" s="577"/>
      <c r="AU19" s="577"/>
      <c r="AV19" s="577"/>
      <c r="AW19" s="577"/>
      <c r="AX19" s="577"/>
      <c r="AY19" s="577"/>
      <c r="AZ19" s="577"/>
    </row>
    <row r="20" spans="1:52" ht="15.75" customHeight="1" x14ac:dyDescent="0.2">
      <c r="A20" s="1086"/>
      <c r="B20" s="8"/>
      <c r="C20" s="8"/>
      <c r="D20" s="581"/>
      <c r="E20" s="581"/>
      <c r="F20" s="581"/>
      <c r="G20" s="582"/>
      <c r="H20" s="577"/>
      <c r="I20" s="577"/>
      <c r="J20" s="577"/>
      <c r="K20" s="577"/>
      <c r="L20" s="577"/>
      <c r="M20" s="577"/>
      <c r="N20" s="577"/>
      <c r="O20" s="577"/>
      <c r="P20" s="577"/>
      <c r="Q20" s="577"/>
      <c r="R20" s="577"/>
      <c r="S20" s="577"/>
      <c r="T20" s="577"/>
      <c r="U20" s="577"/>
      <c r="V20" s="577"/>
      <c r="W20" s="577"/>
      <c r="X20" s="577"/>
      <c r="Y20" s="577"/>
      <c r="Z20" s="577"/>
      <c r="AA20" s="577"/>
      <c r="AB20" s="577"/>
      <c r="AC20" s="577"/>
      <c r="AD20" s="577"/>
      <c r="AE20" s="577"/>
      <c r="AF20" s="577"/>
      <c r="AG20" s="577"/>
      <c r="AH20" s="577"/>
      <c r="AI20" s="577"/>
      <c r="AJ20" s="577"/>
      <c r="AK20" s="577"/>
      <c r="AL20" s="577"/>
      <c r="AM20" s="577"/>
      <c r="AN20" s="577"/>
      <c r="AO20" s="577"/>
      <c r="AP20" s="577"/>
      <c r="AQ20" s="577"/>
      <c r="AR20" s="577"/>
      <c r="AS20" s="577"/>
      <c r="AT20" s="577"/>
      <c r="AU20" s="577"/>
      <c r="AV20" s="577"/>
      <c r="AW20" s="577"/>
      <c r="AX20" s="577"/>
      <c r="AY20" s="577"/>
      <c r="AZ20" s="577"/>
    </row>
    <row r="21" spans="1:52" ht="15.75" customHeight="1" x14ac:dyDescent="0.2">
      <c r="A21" s="583">
        <v>1.5</v>
      </c>
      <c r="B21" s="8" t="s">
        <v>19</v>
      </c>
      <c r="C21" s="8"/>
      <c r="D21" s="581"/>
      <c r="E21" s="581"/>
      <c r="F21" s="581"/>
      <c r="G21" s="582"/>
      <c r="H21" s="577"/>
      <c r="I21" s="577"/>
      <c r="J21" s="577"/>
      <c r="K21" s="577"/>
      <c r="L21" s="577"/>
      <c r="M21" s="577"/>
      <c r="N21" s="577"/>
      <c r="O21" s="577"/>
      <c r="P21" s="577"/>
      <c r="Q21" s="577"/>
      <c r="R21" s="577"/>
      <c r="S21" s="577"/>
      <c r="T21" s="577"/>
      <c r="U21" s="577"/>
      <c r="V21" s="577"/>
      <c r="W21" s="577"/>
      <c r="X21" s="577"/>
      <c r="Y21" s="577"/>
      <c r="Z21" s="577"/>
      <c r="AA21" s="577"/>
      <c r="AB21" s="577"/>
      <c r="AC21" s="577"/>
      <c r="AD21" s="577"/>
      <c r="AE21" s="577"/>
      <c r="AF21" s="577"/>
      <c r="AG21" s="577"/>
      <c r="AH21" s="577"/>
      <c r="AI21" s="577"/>
      <c r="AJ21" s="577"/>
      <c r="AK21" s="577"/>
      <c r="AL21" s="577"/>
      <c r="AM21" s="577"/>
      <c r="AN21" s="577"/>
      <c r="AO21" s="577"/>
      <c r="AP21" s="577"/>
      <c r="AQ21" s="577"/>
      <c r="AR21" s="577"/>
      <c r="AS21" s="577"/>
      <c r="AT21" s="577"/>
      <c r="AU21" s="577"/>
      <c r="AV21" s="577"/>
      <c r="AW21" s="577"/>
      <c r="AX21" s="577"/>
      <c r="AY21" s="577"/>
      <c r="AZ21" s="577"/>
    </row>
    <row r="22" spans="1:52" ht="15.75" customHeight="1" x14ac:dyDescent="0.2">
      <c r="A22" s="583"/>
      <c r="B22" s="1097" t="s">
        <v>811</v>
      </c>
      <c r="C22" s="8"/>
      <c r="D22" s="581"/>
      <c r="E22" s="581"/>
      <c r="F22" s="581"/>
      <c r="G22" s="582"/>
      <c r="H22" s="577"/>
      <c r="I22" s="577"/>
      <c r="J22" s="577"/>
      <c r="K22" s="577"/>
      <c r="L22" s="577"/>
      <c r="M22" s="577"/>
      <c r="N22" s="577"/>
      <c r="O22" s="577"/>
      <c r="P22" s="577"/>
      <c r="Q22" s="577"/>
      <c r="R22" s="577"/>
      <c r="S22" s="577"/>
      <c r="T22" s="577"/>
      <c r="U22" s="577"/>
      <c r="V22" s="577"/>
      <c r="W22" s="577"/>
      <c r="X22" s="577"/>
      <c r="Y22" s="577"/>
      <c r="Z22" s="577"/>
      <c r="AA22" s="577"/>
      <c r="AB22" s="577"/>
      <c r="AC22" s="577"/>
      <c r="AD22" s="577"/>
      <c r="AE22" s="577"/>
      <c r="AF22" s="577"/>
      <c r="AG22" s="577"/>
      <c r="AH22" s="577"/>
      <c r="AI22" s="577"/>
      <c r="AJ22" s="577"/>
      <c r="AK22" s="577"/>
      <c r="AL22" s="577"/>
      <c r="AM22" s="577"/>
      <c r="AN22" s="577"/>
      <c r="AO22" s="577"/>
      <c r="AP22" s="577"/>
      <c r="AQ22" s="577"/>
      <c r="AR22" s="577"/>
      <c r="AS22" s="577"/>
      <c r="AT22" s="577"/>
      <c r="AU22" s="577"/>
      <c r="AV22" s="577"/>
      <c r="AW22" s="577"/>
      <c r="AX22" s="577"/>
      <c r="AY22" s="577"/>
      <c r="AZ22" s="577"/>
    </row>
    <row r="23" spans="1:52" ht="15.75" customHeight="1" x14ac:dyDescent="0.2">
      <c r="A23" s="583"/>
      <c r="B23" s="1097" t="s">
        <v>812</v>
      </c>
      <c r="C23" s="8"/>
      <c r="D23" s="581"/>
      <c r="E23" s="581"/>
      <c r="F23" s="581"/>
      <c r="G23" s="582"/>
      <c r="H23" s="577"/>
      <c r="I23" s="577"/>
      <c r="J23" s="577"/>
      <c r="K23" s="577"/>
      <c r="L23" s="577"/>
      <c r="M23" s="577"/>
      <c r="N23" s="577"/>
      <c r="O23" s="577"/>
      <c r="P23" s="577"/>
      <c r="Q23" s="577"/>
      <c r="R23" s="577"/>
      <c r="S23" s="577"/>
      <c r="T23" s="577"/>
      <c r="U23" s="577"/>
      <c r="V23" s="577"/>
      <c r="W23" s="577"/>
      <c r="X23" s="577"/>
      <c r="Y23" s="577"/>
      <c r="Z23" s="577"/>
      <c r="AA23" s="577"/>
      <c r="AB23" s="577"/>
      <c r="AC23" s="577"/>
      <c r="AD23" s="577"/>
      <c r="AE23" s="577"/>
      <c r="AF23" s="577"/>
      <c r="AG23" s="577"/>
      <c r="AH23" s="577"/>
      <c r="AI23" s="577"/>
      <c r="AJ23" s="577"/>
      <c r="AK23" s="577"/>
      <c r="AL23" s="577"/>
      <c r="AM23" s="577"/>
      <c r="AN23" s="577"/>
      <c r="AO23" s="577"/>
      <c r="AP23" s="577"/>
      <c r="AQ23" s="577"/>
      <c r="AR23" s="577"/>
      <c r="AS23" s="577"/>
      <c r="AT23" s="577"/>
      <c r="AU23" s="577"/>
      <c r="AV23" s="577"/>
      <c r="AW23" s="577"/>
      <c r="AX23" s="577"/>
      <c r="AY23" s="577"/>
      <c r="AZ23" s="577"/>
    </row>
    <row r="24" spans="1:52" ht="15.75" customHeight="1" x14ac:dyDescent="0.2">
      <c r="A24" s="583"/>
      <c r="B24" s="1097"/>
      <c r="C24" s="8"/>
      <c r="D24" s="581"/>
      <c r="E24" s="581"/>
      <c r="F24" s="581"/>
      <c r="G24" s="582"/>
      <c r="H24" s="577"/>
      <c r="I24" s="577"/>
      <c r="J24" s="577"/>
      <c r="K24" s="577"/>
      <c r="L24" s="577"/>
      <c r="M24" s="577"/>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c r="AL24" s="577"/>
      <c r="AM24" s="577"/>
      <c r="AN24" s="577"/>
      <c r="AO24" s="577"/>
      <c r="AP24" s="577"/>
      <c r="AQ24" s="577"/>
      <c r="AR24" s="577"/>
      <c r="AS24" s="577"/>
      <c r="AT24" s="577"/>
      <c r="AU24" s="577"/>
      <c r="AV24" s="577"/>
      <c r="AW24" s="577"/>
      <c r="AX24" s="577"/>
      <c r="AY24" s="577"/>
      <c r="AZ24" s="577"/>
    </row>
    <row r="25" spans="1:52" ht="15.75" customHeight="1" x14ac:dyDescent="0.2">
      <c r="A25" s="583">
        <v>0.25</v>
      </c>
      <c r="B25" s="8" t="s">
        <v>21</v>
      </c>
      <c r="C25" s="8"/>
      <c r="D25" s="581"/>
      <c r="E25" s="581"/>
      <c r="F25" s="581"/>
      <c r="G25" s="582"/>
      <c r="H25" s="577"/>
      <c r="I25" s="577"/>
      <c r="J25" s="577"/>
      <c r="K25" s="577"/>
      <c r="L25" s="577"/>
      <c r="M25" s="577"/>
      <c r="N25" s="577"/>
      <c r="O25" s="577"/>
      <c r="P25" s="577"/>
      <c r="Q25" s="577"/>
      <c r="R25" s="577"/>
      <c r="S25" s="577"/>
      <c r="T25" s="577"/>
      <c r="U25" s="577"/>
      <c r="V25" s="577"/>
      <c r="W25" s="577"/>
      <c r="X25" s="577"/>
      <c r="Y25" s="577"/>
      <c r="Z25" s="577"/>
      <c r="AA25" s="577"/>
      <c r="AB25" s="577"/>
      <c r="AC25" s="577"/>
      <c r="AD25" s="577"/>
      <c r="AE25" s="577"/>
      <c r="AF25" s="577"/>
      <c r="AG25" s="577"/>
      <c r="AH25" s="577"/>
      <c r="AI25" s="577"/>
      <c r="AJ25" s="577"/>
      <c r="AK25" s="577"/>
      <c r="AL25" s="577"/>
      <c r="AM25" s="577"/>
      <c r="AN25" s="577"/>
      <c r="AO25" s="577"/>
      <c r="AP25" s="577"/>
      <c r="AQ25" s="577"/>
      <c r="AR25" s="577"/>
      <c r="AS25" s="577"/>
      <c r="AT25" s="577"/>
      <c r="AU25" s="577"/>
      <c r="AV25" s="577"/>
      <c r="AW25" s="577"/>
      <c r="AX25" s="577"/>
      <c r="AY25" s="577"/>
      <c r="AZ25" s="577"/>
    </row>
    <row r="26" spans="1:52" ht="15.75" customHeight="1" x14ac:dyDescent="0.2">
      <c r="A26" s="1086"/>
      <c r="B26" s="8" t="s">
        <v>813</v>
      </c>
      <c r="C26" s="8"/>
      <c r="D26" s="581"/>
      <c r="E26" s="581"/>
      <c r="F26" s="581"/>
      <c r="G26" s="582"/>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row>
    <row r="27" spans="1:52" ht="15.75" customHeight="1" x14ac:dyDescent="0.2">
      <c r="A27" s="1086"/>
      <c r="B27" s="8" t="s">
        <v>814</v>
      </c>
      <c r="C27" s="8"/>
      <c r="D27" s="581"/>
      <c r="E27" s="581"/>
      <c r="F27" s="581"/>
      <c r="G27" s="582"/>
      <c r="H27" s="577"/>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7"/>
      <c r="AF27" s="577"/>
      <c r="AG27" s="577"/>
      <c r="AH27" s="577"/>
      <c r="AI27" s="577"/>
      <c r="AJ27" s="577"/>
      <c r="AK27" s="577"/>
      <c r="AL27" s="577"/>
      <c r="AM27" s="577"/>
      <c r="AN27" s="577"/>
      <c r="AO27" s="577"/>
      <c r="AP27" s="577"/>
      <c r="AQ27" s="577"/>
      <c r="AR27" s="577"/>
      <c r="AS27" s="577"/>
      <c r="AT27" s="577"/>
      <c r="AU27" s="577"/>
      <c r="AV27" s="577"/>
      <c r="AW27" s="577"/>
      <c r="AX27" s="577"/>
      <c r="AY27" s="577"/>
      <c r="AZ27" s="577"/>
    </row>
    <row r="28" spans="1:52" ht="15.75" customHeight="1" thickBot="1" x14ac:dyDescent="0.25">
      <c r="A28" s="1098"/>
      <c r="B28" s="1099"/>
      <c r="C28" s="617"/>
      <c r="D28" s="617"/>
      <c r="E28" s="617"/>
      <c r="F28" s="617"/>
      <c r="G28" s="618"/>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7"/>
      <c r="AO28" s="577"/>
      <c r="AP28" s="577"/>
      <c r="AQ28" s="577"/>
      <c r="AR28" s="577"/>
      <c r="AS28" s="577"/>
      <c r="AT28" s="577"/>
      <c r="AU28" s="577"/>
      <c r="AV28" s="577"/>
      <c r="AW28" s="577"/>
      <c r="AX28" s="577"/>
      <c r="AY28" s="577"/>
      <c r="AZ28" s="577"/>
    </row>
    <row r="29" spans="1:52" ht="15.75" customHeight="1" x14ac:dyDescent="0.2">
      <c r="A29" s="577"/>
      <c r="B29" s="577"/>
      <c r="C29" s="577"/>
      <c r="D29" s="577"/>
      <c r="E29" s="577"/>
      <c r="F29" s="577"/>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c r="AK29" s="577"/>
      <c r="AL29" s="577"/>
      <c r="AM29" s="577"/>
      <c r="AN29" s="577"/>
      <c r="AO29" s="577"/>
      <c r="AP29" s="577"/>
      <c r="AQ29" s="577"/>
      <c r="AR29" s="577"/>
      <c r="AS29" s="577"/>
      <c r="AT29" s="577"/>
      <c r="AU29" s="577"/>
      <c r="AV29" s="577"/>
      <c r="AW29" s="577"/>
      <c r="AX29" s="577"/>
      <c r="AY29" s="577"/>
      <c r="AZ29" s="577"/>
    </row>
    <row r="30" spans="1:52" ht="15.75" customHeight="1" x14ac:dyDescent="0.2">
      <c r="A30" s="577"/>
      <c r="B30" s="577"/>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577"/>
      <c r="AJ30" s="577"/>
      <c r="AK30" s="577"/>
      <c r="AL30" s="577"/>
      <c r="AM30" s="577"/>
      <c r="AN30" s="577"/>
      <c r="AO30" s="577"/>
      <c r="AP30" s="577"/>
      <c r="AQ30" s="577"/>
      <c r="AR30" s="577"/>
      <c r="AS30" s="577"/>
      <c r="AT30" s="577"/>
      <c r="AU30" s="577"/>
      <c r="AV30" s="577"/>
      <c r="AW30" s="577"/>
      <c r="AX30" s="577"/>
      <c r="AY30" s="577"/>
      <c r="AZ30" s="577"/>
    </row>
    <row r="31" spans="1:52" ht="15.75" customHeight="1" x14ac:dyDescent="0.2">
      <c r="A31" s="577"/>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row>
    <row r="32" spans="1:52" ht="15.75" customHeight="1" x14ac:dyDescent="0.2">
      <c r="A32" s="577"/>
      <c r="B32" s="577"/>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577"/>
      <c r="AJ32" s="577"/>
      <c r="AK32" s="577"/>
      <c r="AL32" s="577"/>
      <c r="AM32" s="577"/>
      <c r="AN32" s="577"/>
      <c r="AO32" s="577"/>
      <c r="AP32" s="577"/>
      <c r="AQ32" s="577"/>
      <c r="AR32" s="577"/>
      <c r="AS32" s="577"/>
      <c r="AT32" s="577"/>
      <c r="AU32" s="577"/>
      <c r="AV32" s="577"/>
      <c r="AW32" s="577"/>
      <c r="AX32" s="577"/>
      <c r="AY32" s="577"/>
      <c r="AZ32" s="577"/>
    </row>
    <row r="33" spans="1:52" ht="15.75" customHeight="1" x14ac:dyDescent="0.2">
      <c r="A33" s="577"/>
      <c r="B33" s="577"/>
      <c r="C33" s="577"/>
      <c r="D33" s="577"/>
      <c r="E33" s="577"/>
      <c r="F33" s="577"/>
      <c r="G33" s="1100">
        <v>42916</v>
      </c>
      <c r="H33" s="577"/>
      <c r="I33" s="577"/>
      <c r="J33" s="577"/>
      <c r="K33" s="577"/>
      <c r="L33" s="577"/>
      <c r="M33" s="577"/>
      <c r="N33" s="577"/>
      <c r="O33" s="577"/>
      <c r="P33" s="577"/>
      <c r="Q33" s="577"/>
      <c r="R33" s="577"/>
      <c r="S33" s="577"/>
      <c r="T33" s="577"/>
      <c r="U33" s="577"/>
      <c r="V33" s="577"/>
      <c r="W33" s="577"/>
      <c r="X33" s="577"/>
      <c r="Y33" s="577"/>
      <c r="Z33" s="577"/>
      <c r="AA33" s="577"/>
      <c r="AB33" s="577"/>
      <c r="AC33" s="577"/>
      <c r="AD33" s="577"/>
      <c r="AE33" s="577"/>
      <c r="AF33" s="577"/>
      <c r="AG33" s="577"/>
      <c r="AH33" s="577"/>
      <c r="AI33" s="577"/>
      <c r="AJ33" s="577"/>
      <c r="AK33" s="577"/>
      <c r="AL33" s="577"/>
      <c r="AM33" s="577"/>
      <c r="AN33" s="577"/>
      <c r="AO33" s="577"/>
      <c r="AP33" s="577"/>
      <c r="AQ33" s="577"/>
      <c r="AR33" s="577"/>
      <c r="AS33" s="577"/>
      <c r="AT33" s="577"/>
      <c r="AU33" s="577"/>
      <c r="AV33" s="577"/>
      <c r="AW33" s="577"/>
      <c r="AX33" s="577"/>
      <c r="AY33" s="577"/>
      <c r="AZ33" s="577"/>
    </row>
    <row r="34" spans="1:52" s="1103" customFormat="1" ht="15.75" customHeight="1" x14ac:dyDescent="0.2">
      <c r="A34" s="1101"/>
      <c r="B34" s="1101"/>
      <c r="C34" s="1102" t="s">
        <v>803</v>
      </c>
      <c r="D34" s="1101"/>
      <c r="E34" s="1101"/>
      <c r="F34" s="1101"/>
      <c r="G34" s="1101" t="s">
        <v>765</v>
      </c>
      <c r="H34" s="1101" t="s">
        <v>765</v>
      </c>
      <c r="I34" s="1101"/>
      <c r="J34" s="1101" t="s">
        <v>815</v>
      </c>
      <c r="K34" s="1101"/>
      <c r="L34" s="1101"/>
      <c r="M34" s="1101"/>
      <c r="N34" s="1101"/>
      <c r="O34" s="1101"/>
      <c r="P34" s="1101"/>
      <c r="Q34" s="1101"/>
      <c r="R34" s="1101"/>
      <c r="S34" s="1101"/>
      <c r="T34" s="1101"/>
      <c r="U34" s="1101"/>
      <c r="V34" s="1101"/>
      <c r="W34" s="1101"/>
      <c r="X34" s="1101"/>
      <c r="Y34" s="1101"/>
      <c r="Z34" s="1101"/>
      <c r="AA34" s="1101"/>
      <c r="AB34" s="1101"/>
      <c r="AC34" s="1101"/>
      <c r="AD34" s="1101"/>
      <c r="AE34" s="1101"/>
      <c r="AF34" s="1101"/>
      <c r="AG34" s="1101"/>
      <c r="AH34" s="1101"/>
      <c r="AI34" s="1101"/>
      <c r="AJ34" s="1101"/>
      <c r="AK34" s="1101"/>
      <c r="AL34" s="1101"/>
      <c r="AM34" s="1101"/>
      <c r="AN34" s="1101"/>
      <c r="AO34" s="1101"/>
      <c r="AP34" s="1101"/>
      <c r="AQ34" s="1101"/>
      <c r="AR34" s="1101"/>
      <c r="AS34" s="1101"/>
      <c r="AT34" s="1101"/>
      <c r="AU34" s="1101"/>
      <c r="AV34" s="1101"/>
      <c r="AW34" s="1101"/>
      <c r="AX34" s="1101"/>
      <c r="AY34" s="1101"/>
      <c r="AZ34" s="1101"/>
    </row>
    <row r="35" spans="1:52" s="1103" customFormat="1" ht="15.75" customHeight="1" x14ac:dyDescent="0.2">
      <c r="A35" s="1101"/>
      <c r="B35" s="1104" t="s">
        <v>135</v>
      </c>
      <c r="C35" s="1105" t="s">
        <v>804</v>
      </c>
      <c r="D35" s="1101" t="s">
        <v>808</v>
      </c>
      <c r="E35" s="1101"/>
      <c r="F35" s="1101"/>
      <c r="G35" s="1101" t="s">
        <v>816</v>
      </c>
      <c r="H35" s="1101" t="s">
        <v>615</v>
      </c>
      <c r="I35" s="1105" t="s">
        <v>804</v>
      </c>
      <c r="J35" s="1101" t="s">
        <v>765</v>
      </c>
      <c r="K35" s="1101"/>
      <c r="L35" s="1101"/>
      <c r="M35" s="1101"/>
      <c r="N35" s="1101"/>
      <c r="O35" s="1101"/>
      <c r="P35" s="1101"/>
      <c r="Q35" s="1101"/>
      <c r="R35" s="1101"/>
      <c r="S35" s="1101"/>
      <c r="T35" s="1101"/>
      <c r="U35" s="1101"/>
      <c r="V35" s="1101"/>
      <c r="W35" s="1101"/>
      <c r="X35" s="1101"/>
      <c r="Y35" s="1101"/>
      <c r="Z35" s="1101"/>
      <c r="AA35" s="1101"/>
      <c r="AB35" s="1101"/>
      <c r="AC35" s="1101"/>
      <c r="AD35" s="1101"/>
      <c r="AE35" s="1101"/>
      <c r="AF35" s="1101"/>
      <c r="AG35" s="1101"/>
      <c r="AH35" s="1101"/>
      <c r="AI35" s="1101"/>
      <c r="AJ35" s="1101"/>
      <c r="AK35" s="1101"/>
      <c r="AL35" s="1101"/>
      <c r="AM35" s="1101"/>
      <c r="AN35" s="1101"/>
      <c r="AO35" s="1101"/>
      <c r="AP35" s="1101"/>
      <c r="AQ35" s="1101"/>
      <c r="AR35" s="1101"/>
      <c r="AS35" s="1101"/>
      <c r="AT35" s="1101"/>
      <c r="AU35" s="1101"/>
      <c r="AV35" s="1101"/>
      <c r="AW35" s="1101"/>
      <c r="AX35" s="1101"/>
      <c r="AY35" s="1101"/>
      <c r="AZ35" s="1101"/>
    </row>
    <row r="36" spans="1:52" s="1103" customFormat="1" ht="15.75" customHeight="1" x14ac:dyDescent="0.2">
      <c r="A36" s="1101"/>
      <c r="B36" s="1106" t="s">
        <v>83</v>
      </c>
      <c r="C36" s="1107">
        <v>42735</v>
      </c>
      <c r="D36" s="1108">
        <f>F15</f>
        <v>1</v>
      </c>
      <c r="E36" s="1109"/>
      <c r="F36" s="1101"/>
      <c r="G36" s="1101"/>
      <c r="H36" s="1101"/>
      <c r="I36" s="1110">
        <v>42916</v>
      </c>
      <c r="J36" s="1101"/>
      <c r="K36" s="1101"/>
      <c r="L36" s="1101"/>
      <c r="M36" s="1101"/>
      <c r="N36" s="1101"/>
      <c r="O36" s="1101"/>
      <c r="P36" s="1101"/>
      <c r="Q36" s="1101"/>
      <c r="R36" s="1101"/>
      <c r="S36" s="1101"/>
      <c r="T36" s="1101"/>
      <c r="U36" s="1101"/>
      <c r="V36" s="1101"/>
      <c r="W36" s="1101"/>
      <c r="X36" s="1101"/>
      <c r="Y36" s="1101"/>
      <c r="Z36" s="1101"/>
      <c r="AA36" s="1101"/>
      <c r="AB36" s="1101"/>
      <c r="AC36" s="1101"/>
      <c r="AD36" s="1101"/>
      <c r="AE36" s="1101"/>
      <c r="AF36" s="1101"/>
      <c r="AG36" s="1101"/>
      <c r="AH36" s="1101"/>
      <c r="AI36" s="1101"/>
      <c r="AJ36" s="1101"/>
      <c r="AK36" s="1101"/>
      <c r="AL36" s="1101"/>
      <c r="AM36" s="1101"/>
      <c r="AN36" s="1101"/>
      <c r="AO36" s="1101"/>
      <c r="AP36" s="1101"/>
      <c r="AQ36" s="1101"/>
      <c r="AR36" s="1101"/>
      <c r="AS36" s="1101"/>
      <c r="AT36" s="1101"/>
      <c r="AU36" s="1101"/>
      <c r="AV36" s="1101"/>
      <c r="AW36" s="1101"/>
      <c r="AX36" s="1101"/>
      <c r="AY36" s="1101"/>
      <c r="AZ36" s="1101"/>
    </row>
    <row r="37" spans="1:52" s="1103" customFormat="1" ht="15.75" customHeight="1" x14ac:dyDescent="0.2">
      <c r="A37" s="1101"/>
      <c r="B37" s="1106">
        <v>2014</v>
      </c>
      <c r="C37" s="1111">
        <v>71000</v>
      </c>
      <c r="D37" s="1108">
        <f>E15</f>
        <v>1.05</v>
      </c>
      <c r="E37" s="1109">
        <f>D37/D36</f>
        <v>1.05</v>
      </c>
      <c r="F37" s="1112">
        <f>C37*(E37-1)</f>
        <v>3550.0000000000032</v>
      </c>
      <c r="G37" s="1112">
        <f>F37*0.5</f>
        <v>1775.0000000000016</v>
      </c>
      <c r="H37" s="1112">
        <f>G37+C37</f>
        <v>72775</v>
      </c>
      <c r="I37" s="1113">
        <v>73000</v>
      </c>
      <c r="J37" s="1112">
        <f>I37-H37</f>
        <v>225</v>
      </c>
      <c r="K37" s="1101"/>
      <c r="L37" s="1101"/>
      <c r="M37" s="1101"/>
      <c r="N37" s="1101"/>
      <c r="O37" s="1101"/>
      <c r="P37" s="1101"/>
      <c r="Q37" s="1101"/>
      <c r="R37" s="1101"/>
      <c r="S37" s="1101"/>
      <c r="T37" s="1101"/>
      <c r="U37" s="1101"/>
      <c r="V37" s="1101"/>
      <c r="W37" s="1101"/>
      <c r="X37" s="1101"/>
      <c r="Y37" s="1101"/>
      <c r="Z37" s="1101"/>
      <c r="AA37" s="1101"/>
      <c r="AB37" s="1101"/>
      <c r="AC37" s="1101"/>
      <c r="AD37" s="1101"/>
      <c r="AE37" s="1101"/>
      <c r="AF37" s="1101"/>
      <c r="AG37" s="1101"/>
      <c r="AH37" s="1101"/>
      <c r="AI37" s="1101"/>
      <c r="AJ37" s="1101"/>
      <c r="AK37" s="1101"/>
      <c r="AL37" s="1101"/>
      <c r="AM37" s="1101"/>
      <c r="AN37" s="1101"/>
      <c r="AO37" s="1101"/>
      <c r="AP37" s="1101"/>
      <c r="AQ37" s="1101"/>
      <c r="AR37" s="1101"/>
      <c r="AS37" s="1101"/>
      <c r="AT37" s="1101"/>
      <c r="AU37" s="1101"/>
      <c r="AV37" s="1101"/>
      <c r="AW37" s="1101"/>
      <c r="AX37" s="1101"/>
      <c r="AY37" s="1101"/>
      <c r="AZ37" s="1101"/>
    </row>
    <row r="38" spans="1:52" s="1103" customFormat="1" ht="15.75" customHeight="1" x14ac:dyDescent="0.2">
      <c r="A38" s="1101"/>
      <c r="B38" s="1106">
        <v>2015</v>
      </c>
      <c r="C38" s="1111">
        <v>62000</v>
      </c>
      <c r="D38" s="1108">
        <f>D15</f>
        <v>1.2</v>
      </c>
      <c r="E38" s="1109">
        <f>D38/D37</f>
        <v>1.1428571428571428</v>
      </c>
      <c r="F38" s="1112">
        <f>C38*(E38-1)</f>
        <v>8857.1428571428532</v>
      </c>
      <c r="G38" s="1112">
        <f>F38*0.5</f>
        <v>4428.5714285714266</v>
      </c>
      <c r="H38" s="1112">
        <f>G38+C38</f>
        <v>66428.57142857142</v>
      </c>
      <c r="I38" s="1113">
        <v>68000</v>
      </c>
      <c r="J38" s="1112">
        <f>I38-H38</f>
        <v>1571.4285714285797</v>
      </c>
      <c r="K38" s="1101"/>
      <c r="L38" s="1101"/>
      <c r="M38" s="1101"/>
      <c r="N38" s="1101"/>
      <c r="O38" s="1101"/>
      <c r="P38" s="1101"/>
      <c r="Q38" s="1101"/>
      <c r="R38" s="1101"/>
      <c r="S38" s="1101"/>
      <c r="T38" s="1101"/>
      <c r="U38" s="1101"/>
      <c r="V38" s="1101"/>
      <c r="W38" s="1101"/>
      <c r="X38" s="1101"/>
      <c r="Y38" s="1101"/>
      <c r="Z38" s="1101"/>
      <c r="AA38" s="1101"/>
      <c r="AB38" s="1101"/>
      <c r="AC38" s="1101"/>
      <c r="AD38" s="1101"/>
      <c r="AE38" s="1101"/>
      <c r="AF38" s="1101"/>
      <c r="AG38" s="1101"/>
      <c r="AH38" s="1101"/>
      <c r="AI38" s="1101"/>
      <c r="AJ38" s="1101"/>
      <c r="AK38" s="1101"/>
      <c r="AL38" s="1101"/>
      <c r="AM38" s="1101"/>
      <c r="AN38" s="1101"/>
      <c r="AO38" s="1101"/>
      <c r="AP38" s="1101"/>
      <c r="AQ38" s="1101"/>
      <c r="AR38" s="1101"/>
      <c r="AS38" s="1101"/>
      <c r="AT38" s="1101"/>
      <c r="AU38" s="1101"/>
      <c r="AV38" s="1101"/>
      <c r="AW38" s="1101"/>
      <c r="AX38" s="1101"/>
      <c r="AY38" s="1101"/>
      <c r="AZ38" s="1101"/>
    </row>
    <row r="39" spans="1:52" s="1103" customFormat="1" ht="15.75" customHeight="1" x14ac:dyDescent="0.2">
      <c r="A39" s="1101"/>
      <c r="B39" s="1106">
        <v>2016</v>
      </c>
      <c r="C39" s="1111">
        <v>40000</v>
      </c>
      <c r="D39" s="1108">
        <f>C15</f>
        <v>1.5</v>
      </c>
      <c r="E39" s="1109">
        <f>D39/D38</f>
        <v>1.25</v>
      </c>
      <c r="F39" s="1112">
        <f>C39*(E39-1)</f>
        <v>10000</v>
      </c>
      <c r="G39" s="1112">
        <f>F39*0.5</f>
        <v>5000</v>
      </c>
      <c r="H39" s="1112">
        <f>G39+C39</f>
        <v>45000</v>
      </c>
      <c r="I39" s="1113">
        <v>48000</v>
      </c>
      <c r="J39" s="1112">
        <f>I39-H39</f>
        <v>3000</v>
      </c>
      <c r="K39" s="1101"/>
      <c r="L39" s="1101"/>
      <c r="M39" s="1101"/>
      <c r="N39" s="1101"/>
      <c r="O39" s="1101"/>
      <c r="P39" s="1101"/>
      <c r="Q39" s="1101"/>
      <c r="R39" s="1101"/>
      <c r="S39" s="1101"/>
      <c r="T39" s="1101"/>
      <c r="U39" s="1101"/>
      <c r="V39" s="1101"/>
      <c r="W39" s="1101"/>
      <c r="X39" s="1101"/>
      <c r="Y39" s="1101"/>
      <c r="Z39" s="1101"/>
      <c r="AA39" s="1101"/>
      <c r="AB39" s="1101"/>
      <c r="AC39" s="1101"/>
      <c r="AD39" s="1101"/>
      <c r="AE39" s="1101"/>
      <c r="AF39" s="1101"/>
      <c r="AG39" s="1101"/>
      <c r="AH39" s="1101"/>
      <c r="AI39" s="1101"/>
      <c r="AJ39" s="1101"/>
      <c r="AK39" s="1101"/>
      <c r="AL39" s="1101"/>
      <c r="AM39" s="1101"/>
      <c r="AN39" s="1101"/>
      <c r="AO39" s="1101"/>
      <c r="AP39" s="1101"/>
      <c r="AQ39" s="1101"/>
      <c r="AR39" s="1101"/>
      <c r="AS39" s="1101"/>
      <c r="AT39" s="1101"/>
      <c r="AU39" s="1101"/>
      <c r="AV39" s="1101"/>
      <c r="AW39" s="1101"/>
      <c r="AX39" s="1101"/>
      <c r="AY39" s="1101"/>
      <c r="AZ39" s="1101"/>
    </row>
    <row r="40" spans="1:52" s="1103" customFormat="1" ht="15.75" customHeight="1" x14ac:dyDescent="0.2">
      <c r="A40" s="1101"/>
      <c r="B40" s="1101"/>
      <c r="C40" s="1101"/>
      <c r="D40" s="1101"/>
      <c r="E40" s="1101"/>
      <c r="F40" s="1112"/>
      <c r="G40" s="1112"/>
      <c r="H40" s="1112">
        <f>SUM(H37:H39)</f>
        <v>184203.57142857142</v>
      </c>
      <c r="I40" s="1112">
        <f>SUM(I37:I39)</f>
        <v>189000</v>
      </c>
      <c r="J40" s="1112">
        <f>SUM(J37:J39)</f>
        <v>4796.4285714285797</v>
      </c>
      <c r="K40" s="1101"/>
      <c r="L40" s="1101"/>
      <c r="M40" s="1101"/>
      <c r="N40" s="1101"/>
      <c r="O40" s="1101"/>
      <c r="P40" s="1101"/>
      <c r="Q40" s="1101"/>
      <c r="R40" s="1101"/>
      <c r="S40" s="1101"/>
      <c r="T40" s="1101"/>
      <c r="U40" s="1101"/>
      <c r="V40" s="1101"/>
      <c r="W40" s="1101"/>
      <c r="X40" s="1101"/>
      <c r="Y40" s="1101"/>
      <c r="Z40" s="1101"/>
      <c r="AA40" s="1101"/>
      <c r="AB40" s="1101"/>
      <c r="AC40" s="1101"/>
      <c r="AD40" s="1101"/>
      <c r="AE40" s="1101"/>
      <c r="AF40" s="1101"/>
      <c r="AG40" s="1101"/>
      <c r="AH40" s="1101"/>
      <c r="AI40" s="1101"/>
      <c r="AJ40" s="1101"/>
      <c r="AK40" s="1101"/>
      <c r="AL40" s="1101"/>
      <c r="AM40" s="1101"/>
      <c r="AN40" s="1101"/>
      <c r="AO40" s="1101"/>
      <c r="AP40" s="1101"/>
      <c r="AQ40" s="1101"/>
      <c r="AR40" s="1101"/>
      <c r="AS40" s="1101"/>
      <c r="AT40" s="1101"/>
      <c r="AU40" s="1101"/>
      <c r="AV40" s="1101"/>
      <c r="AW40" s="1101"/>
      <c r="AX40" s="1101"/>
      <c r="AY40" s="1101"/>
      <c r="AZ40" s="1101"/>
    </row>
    <row r="41" spans="1:52" s="1103" customFormat="1" ht="15.75" customHeight="1" x14ac:dyDescent="0.2">
      <c r="A41" s="1101"/>
      <c r="B41" s="1101"/>
      <c r="C41" s="1101"/>
      <c r="D41" s="1101"/>
      <c r="E41" s="1101"/>
      <c r="F41" s="1112"/>
      <c r="G41" s="1114">
        <v>42916</v>
      </c>
      <c r="H41" s="1112"/>
      <c r="I41" s="1101"/>
      <c r="J41" s="1112"/>
      <c r="K41" s="1101"/>
      <c r="L41" s="1101"/>
      <c r="M41" s="1101"/>
      <c r="N41" s="1101"/>
      <c r="O41" s="1101"/>
      <c r="P41" s="1101"/>
      <c r="Q41" s="1101"/>
      <c r="R41" s="1101"/>
      <c r="S41" s="1101"/>
      <c r="T41" s="1101"/>
      <c r="U41" s="1101"/>
      <c r="V41" s="1101"/>
      <c r="W41" s="1101"/>
      <c r="X41" s="1101"/>
      <c r="Y41" s="1101"/>
      <c r="Z41" s="1101"/>
      <c r="AA41" s="1101"/>
      <c r="AB41" s="1101"/>
      <c r="AC41" s="1101"/>
      <c r="AD41" s="1101"/>
      <c r="AE41" s="1101"/>
      <c r="AF41" s="1101"/>
      <c r="AG41" s="1101"/>
      <c r="AH41" s="1101"/>
      <c r="AI41" s="1101"/>
      <c r="AJ41" s="1101"/>
      <c r="AK41" s="1101"/>
      <c r="AL41" s="1101"/>
      <c r="AM41" s="1101"/>
      <c r="AN41" s="1101"/>
      <c r="AO41" s="1101"/>
      <c r="AP41" s="1101"/>
      <c r="AQ41" s="1101"/>
      <c r="AR41" s="1101"/>
      <c r="AS41" s="1101"/>
      <c r="AT41" s="1101"/>
      <c r="AU41" s="1101"/>
      <c r="AV41" s="1101"/>
      <c r="AW41" s="1101"/>
      <c r="AX41" s="1101"/>
      <c r="AY41" s="1101"/>
      <c r="AZ41" s="1101"/>
    </row>
    <row r="42" spans="1:52" s="1103" customFormat="1" ht="15.75" customHeight="1" x14ac:dyDescent="0.2">
      <c r="A42" s="1101"/>
      <c r="B42" s="1101"/>
      <c r="C42" s="1102" t="s">
        <v>803</v>
      </c>
      <c r="D42" s="1101"/>
      <c r="E42" s="1101"/>
      <c r="F42" s="1112"/>
      <c r="G42" s="1112" t="s">
        <v>765</v>
      </c>
      <c r="H42" s="1112" t="s">
        <v>765</v>
      </c>
      <c r="I42" s="1101"/>
      <c r="J42" s="1112" t="s">
        <v>815</v>
      </c>
      <c r="K42" s="1101"/>
      <c r="L42" s="1101"/>
      <c r="M42" s="1101"/>
      <c r="N42" s="1101"/>
      <c r="O42" s="1101"/>
      <c r="P42" s="1101"/>
      <c r="Q42" s="1101"/>
      <c r="R42" s="1101"/>
      <c r="S42" s="1101"/>
      <c r="T42" s="1101"/>
      <c r="U42" s="1101"/>
      <c r="V42" s="1101"/>
      <c r="W42" s="1101"/>
      <c r="X42" s="1101"/>
      <c r="Y42" s="1101"/>
      <c r="Z42" s="1101"/>
      <c r="AA42" s="1101"/>
      <c r="AB42" s="1101"/>
      <c r="AC42" s="1101"/>
      <c r="AD42" s="1101"/>
      <c r="AE42" s="1101"/>
      <c r="AF42" s="1101"/>
      <c r="AG42" s="1101"/>
      <c r="AH42" s="1101"/>
      <c r="AI42" s="1101"/>
      <c r="AJ42" s="1101"/>
      <c r="AK42" s="1101"/>
      <c r="AL42" s="1101"/>
      <c r="AM42" s="1101"/>
      <c r="AN42" s="1101"/>
      <c r="AO42" s="1101"/>
      <c r="AP42" s="1101"/>
      <c r="AQ42" s="1101"/>
      <c r="AR42" s="1101"/>
      <c r="AS42" s="1101"/>
      <c r="AT42" s="1101"/>
      <c r="AU42" s="1101"/>
      <c r="AV42" s="1101"/>
      <c r="AW42" s="1101"/>
      <c r="AX42" s="1101"/>
      <c r="AY42" s="1101"/>
      <c r="AZ42" s="1101"/>
    </row>
    <row r="43" spans="1:52" s="1103" customFormat="1" ht="15.75" customHeight="1" x14ac:dyDescent="0.2">
      <c r="A43" s="1101"/>
      <c r="B43" s="1104" t="s">
        <v>135</v>
      </c>
      <c r="C43" s="1105" t="s">
        <v>804</v>
      </c>
      <c r="D43" s="1101" t="s">
        <v>809</v>
      </c>
      <c r="E43" s="1101"/>
      <c r="F43" s="1112"/>
      <c r="G43" s="1112" t="s">
        <v>816</v>
      </c>
      <c r="H43" s="1112" t="s">
        <v>615</v>
      </c>
      <c r="I43" s="1105" t="s">
        <v>804</v>
      </c>
      <c r="J43" s="1112" t="s">
        <v>765</v>
      </c>
      <c r="K43" s="1101"/>
      <c r="L43" s="1101"/>
      <c r="M43" s="1101"/>
      <c r="N43" s="1101"/>
      <c r="O43" s="1101"/>
      <c r="P43" s="1101"/>
      <c r="Q43" s="1101"/>
      <c r="R43" s="1101"/>
      <c r="S43" s="1101"/>
      <c r="T43" s="1101"/>
      <c r="U43" s="1101"/>
      <c r="V43" s="1101"/>
      <c r="W43" s="1101"/>
      <c r="X43" s="1101"/>
      <c r="Y43" s="1101"/>
      <c r="Z43" s="1101"/>
      <c r="AA43" s="1101"/>
      <c r="AB43" s="1101"/>
      <c r="AC43" s="1101"/>
      <c r="AD43" s="1101"/>
      <c r="AE43" s="1101"/>
      <c r="AF43" s="1101"/>
      <c r="AG43" s="1101"/>
      <c r="AH43" s="1101"/>
      <c r="AI43" s="1101"/>
      <c r="AJ43" s="1101"/>
      <c r="AK43" s="1101"/>
      <c r="AL43" s="1101"/>
      <c r="AM43" s="1101"/>
      <c r="AN43" s="1101"/>
      <c r="AO43" s="1101"/>
      <c r="AP43" s="1101"/>
      <c r="AQ43" s="1101"/>
      <c r="AR43" s="1101"/>
      <c r="AS43" s="1101"/>
      <c r="AT43" s="1101"/>
      <c r="AU43" s="1101"/>
      <c r="AV43" s="1101"/>
      <c r="AW43" s="1101"/>
      <c r="AX43" s="1101"/>
      <c r="AY43" s="1101"/>
      <c r="AZ43" s="1101"/>
    </row>
    <row r="44" spans="1:52" s="1103" customFormat="1" ht="15.75" customHeight="1" x14ac:dyDescent="0.2">
      <c r="A44" s="1101"/>
      <c r="B44" s="1106" t="s">
        <v>83</v>
      </c>
      <c r="C44" s="1107">
        <v>42735</v>
      </c>
      <c r="D44" s="1108">
        <f>F16</f>
        <v>1</v>
      </c>
      <c r="E44" s="1109"/>
      <c r="F44" s="1112"/>
      <c r="G44" s="1112"/>
      <c r="H44" s="1112"/>
      <c r="I44" s="1110">
        <v>42916</v>
      </c>
      <c r="J44" s="1112"/>
      <c r="K44" s="1101"/>
      <c r="L44" s="1101"/>
      <c r="M44" s="1101"/>
      <c r="N44" s="1101"/>
      <c r="O44" s="1101"/>
      <c r="P44" s="1101"/>
      <c r="Q44" s="1101"/>
      <c r="R44" s="1101"/>
      <c r="S44" s="1101"/>
      <c r="T44" s="1101"/>
      <c r="U44" s="1101"/>
      <c r="V44" s="1101"/>
      <c r="W44" s="1101"/>
      <c r="X44" s="1101"/>
      <c r="Y44" s="1101"/>
      <c r="Z44" s="1101"/>
      <c r="AA44" s="1101"/>
      <c r="AB44" s="1101"/>
      <c r="AC44" s="1101"/>
      <c r="AD44" s="1101"/>
      <c r="AE44" s="1101"/>
      <c r="AF44" s="1101"/>
      <c r="AG44" s="1101"/>
      <c r="AH44" s="1101"/>
      <c r="AI44" s="1101"/>
      <c r="AJ44" s="1101"/>
      <c r="AK44" s="1101"/>
      <c r="AL44" s="1101"/>
      <c r="AM44" s="1101"/>
      <c r="AN44" s="1101"/>
      <c r="AO44" s="1101"/>
      <c r="AP44" s="1101"/>
      <c r="AQ44" s="1101"/>
      <c r="AR44" s="1101"/>
      <c r="AS44" s="1101"/>
      <c r="AT44" s="1101"/>
      <c r="AU44" s="1101"/>
      <c r="AV44" s="1101"/>
      <c r="AW44" s="1101"/>
      <c r="AX44" s="1101"/>
      <c r="AY44" s="1101"/>
      <c r="AZ44" s="1101"/>
    </row>
    <row r="45" spans="1:52" s="1103" customFormat="1" ht="15.75" customHeight="1" x14ac:dyDescent="0.2">
      <c r="A45" s="1101"/>
      <c r="B45" s="1106">
        <v>2014</v>
      </c>
      <c r="C45" s="1111">
        <v>71000</v>
      </c>
      <c r="D45" s="1108">
        <f>E16</f>
        <v>1.07</v>
      </c>
      <c r="E45" s="1109">
        <f>D45/D44</f>
        <v>1.07</v>
      </c>
      <c r="F45" s="1112">
        <f>C45*(E45-1)</f>
        <v>4970.0000000000045</v>
      </c>
      <c r="G45" s="1112">
        <f>F45*0.5</f>
        <v>2485.0000000000023</v>
      </c>
      <c r="H45" s="1112">
        <f>G45+C45</f>
        <v>73485</v>
      </c>
      <c r="I45" s="1113">
        <v>73000</v>
      </c>
      <c r="J45" s="1112">
        <f>I45-H45</f>
        <v>-485</v>
      </c>
      <c r="K45" s="1101"/>
      <c r="L45" s="1101"/>
      <c r="M45" s="1101"/>
      <c r="N45" s="1101"/>
      <c r="O45" s="1101"/>
      <c r="P45" s="1101"/>
      <c r="Q45" s="1101"/>
      <c r="R45" s="1101"/>
      <c r="S45" s="1101"/>
      <c r="T45" s="1101"/>
      <c r="U45" s="1101"/>
      <c r="V45" s="1101"/>
      <c r="W45" s="1101"/>
      <c r="X45" s="1101"/>
      <c r="Y45" s="1101"/>
      <c r="Z45" s="1101"/>
      <c r="AA45" s="1101"/>
      <c r="AB45" s="1101"/>
      <c r="AC45" s="1101"/>
      <c r="AD45" s="1101"/>
      <c r="AE45" s="1101"/>
      <c r="AF45" s="1101"/>
      <c r="AG45" s="1101"/>
      <c r="AH45" s="1101"/>
      <c r="AI45" s="1101"/>
      <c r="AJ45" s="1101"/>
      <c r="AK45" s="1101"/>
      <c r="AL45" s="1101"/>
      <c r="AM45" s="1101"/>
      <c r="AN45" s="1101"/>
      <c r="AO45" s="1101"/>
      <c r="AP45" s="1101"/>
      <c r="AQ45" s="1101"/>
      <c r="AR45" s="1101"/>
      <c r="AS45" s="1101"/>
      <c r="AT45" s="1101"/>
      <c r="AU45" s="1101"/>
      <c r="AV45" s="1101"/>
      <c r="AW45" s="1101"/>
      <c r="AX45" s="1101"/>
      <c r="AY45" s="1101"/>
      <c r="AZ45" s="1101"/>
    </row>
    <row r="46" spans="1:52" s="1103" customFormat="1" ht="15.75" customHeight="1" x14ac:dyDescent="0.2">
      <c r="A46" s="1101"/>
      <c r="B46" s="1106">
        <v>2015</v>
      </c>
      <c r="C46" s="1111">
        <v>62000</v>
      </c>
      <c r="D46" s="1108">
        <f>D16</f>
        <v>1.3</v>
      </c>
      <c r="E46" s="1109">
        <f>D46/D45</f>
        <v>1.2149532710280373</v>
      </c>
      <c r="F46" s="1112">
        <f>C46*(E46-1)</f>
        <v>13327.102803738313</v>
      </c>
      <c r="G46" s="1112">
        <f>F46*0.5</f>
        <v>6663.5514018691565</v>
      </c>
      <c r="H46" s="1112">
        <f>G46+C46</f>
        <v>68663.551401869161</v>
      </c>
      <c r="I46" s="1113">
        <v>68000</v>
      </c>
      <c r="J46" s="1112">
        <f>I46-H46</f>
        <v>-663.55140186916105</v>
      </c>
      <c r="K46" s="1101"/>
      <c r="L46" s="1101"/>
      <c r="M46" s="1101"/>
      <c r="N46" s="1101"/>
      <c r="O46" s="1101"/>
      <c r="P46" s="1101"/>
      <c r="Q46" s="1101"/>
      <c r="R46" s="1101"/>
      <c r="S46" s="1101"/>
      <c r="T46" s="1101"/>
      <c r="U46" s="1101"/>
      <c r="V46" s="1101"/>
      <c r="W46" s="1101"/>
      <c r="X46" s="1101"/>
      <c r="Y46" s="1101"/>
      <c r="Z46" s="1101"/>
      <c r="AA46" s="1101"/>
      <c r="AB46" s="1101"/>
      <c r="AC46" s="1101"/>
      <c r="AD46" s="1101"/>
      <c r="AE46" s="1101"/>
      <c r="AF46" s="1101"/>
      <c r="AG46" s="1101"/>
      <c r="AH46" s="1101"/>
      <c r="AI46" s="1101"/>
      <c r="AJ46" s="1101"/>
      <c r="AK46" s="1101"/>
      <c r="AL46" s="1101"/>
      <c r="AM46" s="1101"/>
      <c r="AN46" s="1101"/>
      <c r="AO46" s="1101"/>
      <c r="AP46" s="1101"/>
      <c r="AQ46" s="1101"/>
      <c r="AR46" s="1101"/>
      <c r="AS46" s="1101"/>
      <c r="AT46" s="1101"/>
      <c r="AU46" s="1101"/>
      <c r="AV46" s="1101"/>
      <c r="AW46" s="1101"/>
      <c r="AX46" s="1101"/>
      <c r="AY46" s="1101"/>
      <c r="AZ46" s="1101"/>
    </row>
    <row r="47" spans="1:52" s="1103" customFormat="1" ht="15.75" customHeight="1" x14ac:dyDescent="0.2">
      <c r="A47" s="1101"/>
      <c r="B47" s="1106">
        <v>2016</v>
      </c>
      <c r="C47" s="1111">
        <v>40000</v>
      </c>
      <c r="D47" s="1108">
        <f>C16</f>
        <v>1.77</v>
      </c>
      <c r="E47" s="1109">
        <f>D47/D46</f>
        <v>1.3615384615384616</v>
      </c>
      <c r="F47" s="1112">
        <f>C47*(E47-1)</f>
        <v>14461.538461538463</v>
      </c>
      <c r="G47" s="1112">
        <f>F47*0.5</f>
        <v>7230.7692307692314</v>
      </c>
      <c r="H47" s="1112">
        <f>G47+C47</f>
        <v>47230.769230769234</v>
      </c>
      <c r="I47" s="1113">
        <v>48000</v>
      </c>
      <c r="J47" s="1112">
        <f>I47-H47</f>
        <v>769.23076923076587</v>
      </c>
      <c r="K47" s="1101"/>
      <c r="L47" s="1101"/>
      <c r="M47" s="1101"/>
      <c r="N47" s="1101"/>
      <c r="O47" s="1101"/>
      <c r="P47" s="1101"/>
      <c r="Q47" s="1101"/>
      <c r="R47" s="1101"/>
      <c r="S47" s="1101"/>
      <c r="T47" s="1101"/>
      <c r="U47" s="1101"/>
      <c r="V47" s="1101"/>
      <c r="W47" s="1101"/>
      <c r="X47" s="1101"/>
      <c r="Y47" s="1101"/>
      <c r="Z47" s="1101"/>
      <c r="AA47" s="1101"/>
      <c r="AB47" s="1101"/>
      <c r="AC47" s="1101"/>
      <c r="AD47" s="1101"/>
      <c r="AE47" s="1101"/>
      <c r="AF47" s="1101"/>
      <c r="AG47" s="1101"/>
      <c r="AH47" s="1101"/>
      <c r="AI47" s="1101"/>
      <c r="AJ47" s="1101"/>
      <c r="AK47" s="1101"/>
      <c r="AL47" s="1101"/>
      <c r="AM47" s="1101"/>
      <c r="AN47" s="1101"/>
      <c r="AO47" s="1101"/>
      <c r="AP47" s="1101"/>
      <c r="AQ47" s="1101"/>
      <c r="AR47" s="1101"/>
      <c r="AS47" s="1101"/>
      <c r="AT47" s="1101"/>
      <c r="AU47" s="1101"/>
      <c r="AV47" s="1101"/>
      <c r="AW47" s="1101"/>
      <c r="AX47" s="1101"/>
      <c r="AY47" s="1101"/>
      <c r="AZ47" s="1101"/>
    </row>
    <row r="48" spans="1:52" s="1103" customFormat="1" ht="15.75" customHeight="1" x14ac:dyDescent="0.2">
      <c r="A48" s="1101"/>
      <c r="B48" s="1101"/>
      <c r="C48" s="1101"/>
      <c r="D48" s="1101"/>
      <c r="E48" s="1101"/>
      <c r="F48" s="1101"/>
      <c r="G48" s="1101"/>
      <c r="H48" s="1112">
        <f>SUM(H45:H47)</f>
        <v>189379.32063263841</v>
      </c>
      <c r="I48" s="1112">
        <f>SUM(I45:I47)</f>
        <v>189000</v>
      </c>
      <c r="J48" s="1112">
        <f>SUM(J45:J47)</f>
        <v>-379.32063263839518</v>
      </c>
      <c r="K48" s="1101"/>
      <c r="L48" s="1101"/>
      <c r="M48" s="1101"/>
      <c r="N48" s="1101"/>
      <c r="O48" s="1101"/>
      <c r="P48" s="1101"/>
      <c r="Q48" s="1101"/>
      <c r="R48" s="1101"/>
      <c r="S48" s="1101"/>
      <c r="T48" s="1101"/>
      <c r="U48" s="1101"/>
      <c r="V48" s="1101"/>
      <c r="W48" s="1101"/>
      <c r="X48" s="1101"/>
      <c r="Y48" s="1101"/>
      <c r="Z48" s="1101"/>
      <c r="AA48" s="1101"/>
      <c r="AB48" s="1101"/>
      <c r="AC48" s="1101"/>
      <c r="AD48" s="1101"/>
      <c r="AE48" s="1101"/>
      <c r="AF48" s="1101"/>
      <c r="AG48" s="1101"/>
      <c r="AH48" s="1101"/>
      <c r="AI48" s="1101"/>
      <c r="AJ48" s="1101"/>
      <c r="AK48" s="1101"/>
      <c r="AL48" s="1101"/>
      <c r="AM48" s="1101"/>
      <c r="AN48" s="1101"/>
      <c r="AO48" s="1101"/>
      <c r="AP48" s="1101"/>
      <c r="AQ48" s="1101"/>
      <c r="AR48" s="1101"/>
      <c r="AS48" s="1101"/>
      <c r="AT48" s="1101"/>
      <c r="AU48" s="1101"/>
      <c r="AV48" s="1101"/>
      <c r="AW48" s="1101"/>
      <c r="AX48" s="1101"/>
      <c r="AY48" s="1101"/>
      <c r="AZ48" s="1101"/>
    </row>
    <row r="49" spans="1:52" ht="15.75" customHeight="1" x14ac:dyDescent="0.2">
      <c r="A49" s="577"/>
      <c r="B49" s="577"/>
      <c r="C49" s="577"/>
      <c r="D49" s="577"/>
      <c r="E49" s="577"/>
      <c r="F49" s="577"/>
      <c r="G49" s="577"/>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577"/>
      <c r="AO49" s="577"/>
      <c r="AP49" s="577"/>
      <c r="AQ49" s="577"/>
      <c r="AR49" s="577"/>
      <c r="AS49" s="577"/>
      <c r="AT49" s="577"/>
      <c r="AU49" s="577"/>
      <c r="AV49" s="577"/>
      <c r="AW49" s="577"/>
      <c r="AX49" s="577"/>
      <c r="AY49" s="577"/>
      <c r="AZ49" s="577"/>
    </row>
    <row r="50" spans="1:52" ht="15.75" customHeight="1" x14ac:dyDescent="0.2">
      <c r="A50" s="577"/>
      <c r="B50" s="577" t="s">
        <v>817</v>
      </c>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577"/>
      <c r="AJ50" s="577"/>
      <c r="AK50" s="577"/>
      <c r="AL50" s="577"/>
      <c r="AM50" s="577"/>
      <c r="AN50" s="577"/>
      <c r="AO50" s="577"/>
      <c r="AP50" s="577"/>
      <c r="AQ50" s="577"/>
      <c r="AR50" s="577"/>
      <c r="AS50" s="577"/>
      <c r="AT50" s="577"/>
      <c r="AU50" s="577"/>
      <c r="AV50" s="577"/>
      <c r="AW50" s="577"/>
      <c r="AX50" s="577"/>
      <c r="AY50" s="577"/>
      <c r="AZ50" s="577"/>
    </row>
    <row r="51" spans="1:52" ht="15.75" customHeight="1" x14ac:dyDescent="0.2">
      <c r="A51" s="577"/>
      <c r="B51" s="577"/>
      <c r="C51" s="577"/>
      <c r="D51" s="577"/>
      <c r="E51" s="577"/>
      <c r="F51" s="577"/>
      <c r="G51" s="577"/>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c r="AK51" s="577"/>
      <c r="AL51" s="577"/>
      <c r="AM51" s="577"/>
      <c r="AN51" s="577"/>
      <c r="AO51" s="577"/>
      <c r="AP51" s="577"/>
      <c r="AQ51" s="577"/>
      <c r="AR51" s="577"/>
      <c r="AS51" s="577"/>
      <c r="AT51" s="577"/>
      <c r="AU51" s="577"/>
      <c r="AV51" s="577"/>
      <c r="AW51" s="577"/>
      <c r="AX51" s="577"/>
      <c r="AY51" s="577"/>
      <c r="AZ51" s="577"/>
    </row>
    <row r="52" spans="1:52" ht="15.75" customHeight="1" x14ac:dyDescent="0.2">
      <c r="A52" s="577"/>
      <c r="B52" s="577"/>
      <c r="C52" s="577"/>
      <c r="D52" s="577"/>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c r="AK52" s="577"/>
      <c r="AL52" s="577"/>
      <c r="AM52" s="577"/>
      <c r="AN52" s="577"/>
      <c r="AO52" s="577"/>
      <c r="AP52" s="577"/>
      <c r="AQ52" s="577"/>
      <c r="AR52" s="577"/>
      <c r="AS52" s="577"/>
      <c r="AT52" s="577"/>
      <c r="AU52" s="577"/>
      <c r="AV52" s="577"/>
      <c r="AW52" s="577"/>
      <c r="AX52" s="577"/>
      <c r="AY52" s="577"/>
      <c r="AZ52" s="577"/>
    </row>
    <row r="53" spans="1:52" ht="15.75" customHeight="1" x14ac:dyDescent="0.2">
      <c r="A53" s="577"/>
      <c r="B53" s="577"/>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577"/>
      <c r="AO53" s="577"/>
      <c r="AP53" s="577"/>
      <c r="AQ53" s="577"/>
      <c r="AR53" s="577"/>
      <c r="AS53" s="577"/>
      <c r="AT53" s="577"/>
      <c r="AU53" s="577"/>
      <c r="AV53" s="577"/>
      <c r="AW53" s="577"/>
      <c r="AX53" s="577"/>
      <c r="AY53" s="577"/>
      <c r="AZ53" s="577"/>
    </row>
    <row r="54" spans="1:52" ht="15.75" customHeight="1" x14ac:dyDescent="0.2">
      <c r="A54" s="577"/>
      <c r="B54" s="577"/>
      <c r="C54" s="577"/>
      <c r="D54" s="577"/>
      <c r="E54" s="577"/>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577"/>
      <c r="AO54" s="577"/>
      <c r="AP54" s="577"/>
      <c r="AQ54" s="577"/>
      <c r="AR54" s="577"/>
      <c r="AS54" s="577"/>
      <c r="AT54" s="577"/>
      <c r="AU54" s="577"/>
      <c r="AV54" s="577"/>
      <c r="AW54" s="577"/>
      <c r="AX54" s="577"/>
      <c r="AY54" s="577"/>
      <c r="AZ54" s="577"/>
    </row>
    <row r="55" spans="1:52" ht="15.75" customHeight="1" x14ac:dyDescent="0.2">
      <c r="A55" s="577"/>
      <c r="B55" s="577"/>
      <c r="C55" s="577"/>
      <c r="D55" s="577"/>
      <c r="E55" s="577"/>
      <c r="F55" s="577"/>
      <c r="G55" s="577"/>
      <c r="H55" s="577"/>
      <c r="I55" s="577"/>
      <c r="J55" s="577"/>
      <c r="K55" s="577"/>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c r="AO55" s="577"/>
      <c r="AP55" s="577"/>
      <c r="AQ55" s="577"/>
      <c r="AR55" s="577"/>
      <c r="AS55" s="577"/>
      <c r="AT55" s="577"/>
      <c r="AU55" s="577"/>
      <c r="AV55" s="577"/>
      <c r="AW55" s="577"/>
      <c r="AX55" s="577"/>
      <c r="AY55" s="577"/>
      <c r="AZ55" s="577"/>
    </row>
    <row r="56" spans="1:52" ht="15.75" customHeight="1" x14ac:dyDescent="0.2">
      <c r="A56" s="577"/>
      <c r="B56" s="577"/>
      <c r="C56" s="577"/>
      <c r="D56" s="577"/>
      <c r="E56" s="577"/>
      <c r="F56" s="577"/>
      <c r="G56" s="577"/>
      <c r="H56" s="577"/>
      <c r="I56" s="577"/>
      <c r="J56" s="577"/>
      <c r="K56" s="577"/>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c r="AO56" s="577"/>
      <c r="AP56" s="577"/>
      <c r="AQ56" s="577"/>
      <c r="AR56" s="577"/>
      <c r="AS56" s="577"/>
      <c r="AT56" s="577"/>
      <c r="AU56" s="577"/>
      <c r="AV56" s="577"/>
      <c r="AW56" s="577"/>
      <c r="AX56" s="577"/>
      <c r="AY56" s="577"/>
      <c r="AZ56" s="577"/>
    </row>
    <row r="57" spans="1:52" ht="15.75" customHeight="1" x14ac:dyDescent="0.2">
      <c r="A57" s="577"/>
      <c r="B57" s="577"/>
      <c r="C57" s="577"/>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c r="AO57" s="577"/>
      <c r="AP57" s="577"/>
      <c r="AQ57" s="577"/>
      <c r="AR57" s="577"/>
      <c r="AS57" s="577"/>
      <c r="AT57" s="577"/>
      <c r="AU57" s="577"/>
      <c r="AV57" s="577"/>
      <c r="AW57" s="577"/>
      <c r="AX57" s="577"/>
      <c r="AY57" s="577"/>
      <c r="AZ57" s="577"/>
    </row>
    <row r="58" spans="1:52" ht="15.75" customHeight="1" x14ac:dyDescent="0.2">
      <c r="A58" s="577"/>
      <c r="B58" s="577"/>
      <c r="C58" s="577"/>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c r="AO58" s="577"/>
      <c r="AP58" s="577"/>
      <c r="AQ58" s="577"/>
      <c r="AR58" s="577"/>
      <c r="AS58" s="577"/>
      <c r="AT58" s="577"/>
      <c r="AU58" s="577"/>
      <c r="AV58" s="577"/>
      <c r="AW58" s="577"/>
      <c r="AX58" s="577"/>
      <c r="AY58" s="577"/>
      <c r="AZ58" s="577"/>
    </row>
    <row r="59" spans="1:52" ht="15.75" customHeight="1" x14ac:dyDescent="0.2">
      <c r="A59" s="577"/>
      <c r="B59" s="577"/>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c r="AO59" s="577"/>
      <c r="AP59" s="577"/>
      <c r="AQ59" s="577"/>
      <c r="AR59" s="577"/>
      <c r="AS59" s="577"/>
      <c r="AT59" s="577"/>
      <c r="AU59" s="577"/>
      <c r="AV59" s="577"/>
      <c r="AW59" s="577"/>
      <c r="AX59" s="577"/>
      <c r="AY59" s="577"/>
      <c r="AZ59" s="577"/>
    </row>
    <row r="60" spans="1:52" ht="15.75" customHeight="1" x14ac:dyDescent="0.2">
      <c r="A60" s="577"/>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7"/>
      <c r="AY60" s="577"/>
      <c r="AZ60" s="577"/>
    </row>
    <row r="61" spans="1:52" ht="15.75" customHeight="1" x14ac:dyDescent="0.2">
      <c r="A61" s="577"/>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7"/>
      <c r="AY61" s="577"/>
      <c r="AZ61" s="577"/>
    </row>
    <row r="62" spans="1:52" ht="15.75" customHeight="1" x14ac:dyDescent="0.2">
      <c r="A62" s="577"/>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7"/>
      <c r="AY62" s="577"/>
      <c r="AZ62" s="577"/>
    </row>
    <row r="63" spans="1:52" ht="15.75" customHeight="1" x14ac:dyDescent="0.2">
      <c r="A63" s="577"/>
      <c r="B63" s="577"/>
      <c r="C63" s="577"/>
      <c r="D63" s="577"/>
      <c r="E63" s="577"/>
      <c r="F63" s="577"/>
      <c r="G63" s="577"/>
      <c r="H63" s="577"/>
      <c r="I63" s="577"/>
      <c r="J63" s="577"/>
      <c r="K63" s="577"/>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c r="AO63" s="577"/>
      <c r="AP63" s="577"/>
      <c r="AQ63" s="577"/>
      <c r="AR63" s="577"/>
      <c r="AS63" s="577"/>
      <c r="AT63" s="577"/>
      <c r="AU63" s="577"/>
      <c r="AV63" s="577"/>
      <c r="AW63" s="577"/>
      <c r="AX63" s="577"/>
      <c r="AY63" s="577"/>
      <c r="AZ63" s="577"/>
    </row>
    <row r="64" spans="1:52" ht="15.75" customHeight="1" x14ac:dyDescent="0.2">
      <c r="A64" s="577"/>
      <c r="B64" s="577"/>
      <c r="C64" s="577"/>
      <c r="D64" s="577"/>
      <c r="E64" s="577"/>
      <c r="F64" s="577"/>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c r="AO64" s="577"/>
      <c r="AP64" s="577"/>
      <c r="AQ64" s="577"/>
      <c r="AR64" s="577"/>
      <c r="AS64" s="577"/>
      <c r="AT64" s="577"/>
      <c r="AU64" s="577"/>
      <c r="AV64" s="577"/>
      <c r="AW64" s="577"/>
      <c r="AX64" s="577"/>
      <c r="AY64" s="577"/>
      <c r="AZ64" s="577"/>
    </row>
    <row r="65" spans="1:52" ht="15.75" customHeight="1" x14ac:dyDescent="0.2">
      <c r="A65" s="577"/>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c r="AO65" s="577"/>
      <c r="AP65" s="577"/>
      <c r="AQ65" s="577"/>
      <c r="AR65" s="577"/>
      <c r="AS65" s="577"/>
      <c r="AT65" s="577"/>
      <c r="AU65" s="577"/>
      <c r="AV65" s="577"/>
      <c r="AW65" s="577"/>
      <c r="AX65" s="577"/>
      <c r="AY65" s="577"/>
      <c r="AZ65" s="577"/>
    </row>
    <row r="66" spans="1:52" ht="15.75" customHeight="1" x14ac:dyDescent="0.2">
      <c r="A66" s="577"/>
      <c r="B66" s="577"/>
      <c r="C66" s="577"/>
      <c r="D66" s="577"/>
      <c r="E66" s="577"/>
      <c r="F66" s="577"/>
      <c r="G66" s="577"/>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c r="AO66" s="577"/>
      <c r="AP66" s="577"/>
      <c r="AQ66" s="577"/>
      <c r="AR66" s="577"/>
      <c r="AS66" s="577"/>
      <c r="AT66" s="577"/>
      <c r="AU66" s="577"/>
      <c r="AV66" s="577"/>
      <c r="AW66" s="577"/>
      <c r="AX66" s="577"/>
      <c r="AY66" s="577"/>
      <c r="AZ66" s="577"/>
    </row>
    <row r="67" spans="1:52" ht="15.75" customHeight="1" x14ac:dyDescent="0.2">
      <c r="A67" s="577"/>
      <c r="B67" s="577"/>
      <c r="C67" s="577"/>
      <c r="D67" s="577"/>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c r="AO67" s="577"/>
      <c r="AP67" s="577"/>
      <c r="AQ67" s="577"/>
      <c r="AR67" s="577"/>
      <c r="AS67" s="577"/>
      <c r="AT67" s="577"/>
      <c r="AU67" s="577"/>
      <c r="AV67" s="577"/>
      <c r="AW67" s="577"/>
      <c r="AX67" s="577"/>
      <c r="AY67" s="577"/>
      <c r="AZ67" s="577"/>
    </row>
    <row r="68" spans="1:52" ht="15.75" customHeight="1" x14ac:dyDescent="0.2">
      <c r="A68" s="577"/>
      <c r="B68" s="577"/>
      <c r="C68" s="577"/>
      <c r="D68" s="577"/>
      <c r="E68" s="577"/>
      <c r="F68" s="577"/>
      <c r="G68" s="577"/>
      <c r="H68" s="577"/>
      <c r="I68" s="577"/>
      <c r="J68" s="577"/>
      <c r="K68" s="577"/>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c r="AS68" s="577"/>
      <c r="AT68" s="577"/>
      <c r="AU68" s="577"/>
      <c r="AV68" s="577"/>
      <c r="AW68" s="577"/>
      <c r="AX68" s="577"/>
      <c r="AY68" s="577"/>
      <c r="AZ68" s="577"/>
    </row>
    <row r="69" spans="1:52" ht="15.75" customHeight="1" x14ac:dyDescent="0.2">
      <c r="A69" s="577"/>
      <c r="B69" s="577"/>
      <c r="C69" s="577"/>
      <c r="D69" s="577"/>
      <c r="E69" s="577"/>
      <c r="F69" s="577"/>
      <c r="G69" s="577"/>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c r="AO69" s="577"/>
      <c r="AP69" s="577"/>
      <c r="AQ69" s="577"/>
      <c r="AR69" s="577"/>
      <c r="AS69" s="577"/>
      <c r="AT69" s="577"/>
      <c r="AU69" s="577"/>
      <c r="AV69" s="577"/>
      <c r="AW69" s="577"/>
      <c r="AX69" s="577"/>
      <c r="AY69" s="577"/>
      <c r="AZ69" s="577"/>
    </row>
    <row r="70" spans="1:52" ht="15.75" customHeight="1" x14ac:dyDescent="0.2">
      <c r="A70" s="577"/>
      <c r="B70" s="577"/>
      <c r="C70" s="577"/>
      <c r="D70" s="577"/>
      <c r="E70" s="577"/>
      <c r="F70" s="577"/>
      <c r="G70" s="577"/>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c r="AS70" s="577"/>
      <c r="AT70" s="577"/>
      <c r="AU70" s="577"/>
      <c r="AV70" s="577"/>
      <c r="AW70" s="577"/>
      <c r="AX70" s="577"/>
      <c r="AY70" s="577"/>
      <c r="AZ70" s="577"/>
    </row>
    <row r="71" spans="1:52" ht="15.75" customHeight="1" x14ac:dyDescent="0.2">
      <c r="A71" s="577"/>
      <c r="B71" s="577"/>
      <c r="C71" s="577"/>
      <c r="D71" s="577"/>
      <c r="E71" s="577"/>
      <c r="F71" s="577"/>
      <c r="G71" s="577"/>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c r="AO71" s="577"/>
      <c r="AP71" s="577"/>
      <c r="AQ71" s="577"/>
      <c r="AR71" s="577"/>
      <c r="AS71" s="577"/>
      <c r="AT71" s="577"/>
      <c r="AU71" s="577"/>
      <c r="AV71" s="577"/>
      <c r="AW71" s="577"/>
      <c r="AX71" s="577"/>
      <c r="AY71" s="577"/>
      <c r="AZ71" s="577"/>
    </row>
    <row r="72" spans="1:52" ht="15.75" customHeight="1" x14ac:dyDescent="0.2">
      <c r="A72" s="577"/>
      <c r="B72" s="577"/>
      <c r="C72" s="577"/>
      <c r="D72" s="577"/>
      <c r="E72" s="577"/>
      <c r="F72" s="577"/>
      <c r="G72" s="577"/>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c r="AO72" s="577"/>
      <c r="AP72" s="577"/>
      <c r="AQ72" s="577"/>
      <c r="AR72" s="577"/>
      <c r="AS72" s="577"/>
      <c r="AT72" s="577"/>
      <c r="AU72" s="577"/>
      <c r="AV72" s="577"/>
      <c r="AW72" s="577"/>
      <c r="AX72" s="577"/>
      <c r="AY72" s="577"/>
      <c r="AZ72" s="577"/>
    </row>
    <row r="73" spans="1:52" ht="15.75" customHeight="1" x14ac:dyDescent="0.2">
      <c r="A73" s="577"/>
      <c r="B73" s="577"/>
      <c r="C73" s="577"/>
      <c r="D73" s="577"/>
      <c r="E73" s="577"/>
      <c r="F73" s="577"/>
      <c r="G73" s="577"/>
      <c r="H73" s="577"/>
      <c r="I73" s="577"/>
      <c r="J73" s="577"/>
      <c r="K73" s="577"/>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c r="AO73" s="577"/>
      <c r="AP73" s="577"/>
      <c r="AQ73" s="577"/>
      <c r="AR73" s="577"/>
      <c r="AS73" s="577"/>
      <c r="AT73" s="577"/>
      <c r="AU73" s="577"/>
      <c r="AV73" s="577"/>
      <c r="AW73" s="577"/>
      <c r="AX73" s="577"/>
      <c r="AY73" s="577"/>
      <c r="AZ73" s="577"/>
    </row>
    <row r="74" spans="1:52" ht="15.75" customHeight="1" x14ac:dyDescent="0.2">
      <c r="A74" s="577"/>
      <c r="B74" s="577"/>
      <c r="C74" s="577"/>
      <c r="D74" s="577"/>
      <c r="E74" s="577"/>
      <c r="F74" s="577"/>
      <c r="G74" s="577"/>
      <c r="H74" s="577"/>
      <c r="I74" s="577"/>
      <c r="J74" s="577"/>
      <c r="K74" s="577"/>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c r="AO74" s="577"/>
      <c r="AP74" s="577"/>
      <c r="AQ74" s="577"/>
      <c r="AR74" s="577"/>
      <c r="AS74" s="577"/>
      <c r="AT74" s="577"/>
      <c r="AU74" s="577"/>
      <c r="AV74" s="577"/>
      <c r="AW74" s="577"/>
      <c r="AX74" s="577"/>
      <c r="AY74" s="577"/>
      <c r="AZ74" s="577"/>
    </row>
    <row r="75" spans="1:52" ht="15.75" customHeight="1" x14ac:dyDescent="0.2">
      <c r="A75" s="577"/>
      <c r="B75" s="577"/>
      <c r="C75" s="577"/>
      <c r="D75" s="577"/>
      <c r="E75" s="577"/>
      <c r="F75" s="577"/>
      <c r="G75" s="577"/>
      <c r="H75" s="577"/>
      <c r="I75" s="577"/>
      <c r="J75" s="577"/>
      <c r="K75" s="577"/>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c r="AO75" s="577"/>
      <c r="AP75" s="577"/>
      <c r="AQ75" s="577"/>
      <c r="AR75" s="577"/>
      <c r="AS75" s="577"/>
      <c r="AT75" s="577"/>
      <c r="AU75" s="577"/>
      <c r="AV75" s="577"/>
      <c r="AW75" s="577"/>
      <c r="AX75" s="577"/>
      <c r="AY75" s="577"/>
      <c r="AZ75" s="577"/>
    </row>
    <row r="76" spans="1:52" ht="15.75" customHeight="1" x14ac:dyDescent="0.2">
      <c r="A76" s="577"/>
      <c r="B76" s="577"/>
      <c r="C76" s="577"/>
      <c r="D76" s="577"/>
      <c r="E76" s="577"/>
      <c r="F76" s="577"/>
      <c r="G76" s="577"/>
      <c r="H76" s="577"/>
      <c r="I76" s="577"/>
      <c r="J76" s="577"/>
      <c r="K76" s="577"/>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c r="AO76" s="577"/>
      <c r="AP76" s="577"/>
      <c r="AQ76" s="577"/>
      <c r="AR76" s="577"/>
      <c r="AS76" s="577"/>
      <c r="AT76" s="577"/>
      <c r="AU76" s="577"/>
      <c r="AV76" s="577"/>
      <c r="AW76" s="577"/>
      <c r="AX76" s="577"/>
      <c r="AY76" s="577"/>
      <c r="AZ76" s="577"/>
    </row>
    <row r="77" spans="1:52" ht="15.75" customHeight="1" x14ac:dyDescent="0.2">
      <c r="A77" s="577"/>
      <c r="B77" s="577"/>
      <c r="C77" s="577"/>
      <c r="D77" s="577"/>
      <c r="E77" s="577"/>
      <c r="F77" s="577"/>
      <c r="G77" s="577"/>
      <c r="H77" s="577"/>
      <c r="I77" s="577"/>
      <c r="J77" s="577"/>
      <c r="K77" s="577"/>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77"/>
      <c r="AL77" s="577"/>
      <c r="AM77" s="577"/>
      <c r="AN77" s="577"/>
      <c r="AO77" s="577"/>
      <c r="AP77" s="577"/>
      <c r="AQ77" s="577"/>
      <c r="AR77" s="577"/>
      <c r="AS77" s="577"/>
      <c r="AT77" s="577"/>
      <c r="AU77" s="577"/>
      <c r="AV77" s="577"/>
      <c r="AW77" s="577"/>
      <c r="AX77" s="577"/>
      <c r="AY77" s="577"/>
      <c r="AZ77" s="577"/>
    </row>
    <row r="78" spans="1:52" ht="15.75" customHeight="1" x14ac:dyDescent="0.2">
      <c r="A78" s="577"/>
      <c r="B78" s="577"/>
      <c r="C78" s="577"/>
      <c r="D78" s="577"/>
      <c r="E78" s="577"/>
      <c r="F78" s="577"/>
      <c r="G78" s="577"/>
      <c r="H78" s="577"/>
      <c r="I78" s="577"/>
      <c r="J78" s="577"/>
      <c r="K78" s="577"/>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c r="AO78" s="577"/>
      <c r="AP78" s="577"/>
      <c r="AQ78" s="577"/>
      <c r="AR78" s="577"/>
      <c r="AS78" s="577"/>
      <c r="AT78" s="577"/>
      <c r="AU78" s="577"/>
      <c r="AV78" s="577"/>
      <c r="AW78" s="577"/>
      <c r="AX78" s="577"/>
      <c r="AY78" s="577"/>
      <c r="AZ78" s="577"/>
    </row>
    <row r="79" spans="1:52" ht="15.75" customHeight="1" x14ac:dyDescent="0.2">
      <c r="A79" s="577"/>
      <c r="B79" s="577"/>
      <c r="C79" s="577"/>
      <c r="D79" s="577"/>
      <c r="E79" s="577"/>
      <c r="F79" s="577"/>
      <c r="G79" s="577"/>
      <c r="H79" s="577"/>
      <c r="I79" s="577"/>
      <c r="J79" s="577"/>
      <c r="K79" s="577"/>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c r="AO79" s="577"/>
      <c r="AP79" s="577"/>
      <c r="AQ79" s="577"/>
      <c r="AR79" s="577"/>
      <c r="AS79" s="577"/>
      <c r="AT79" s="577"/>
      <c r="AU79" s="577"/>
      <c r="AV79" s="577"/>
      <c r="AW79" s="577"/>
      <c r="AX79" s="577"/>
      <c r="AY79" s="577"/>
      <c r="AZ79" s="577"/>
    </row>
    <row r="80" spans="1:52" ht="15.75" customHeight="1" x14ac:dyDescent="0.2">
      <c r="A80" s="577"/>
      <c r="B80" s="577"/>
      <c r="C80" s="577"/>
      <c r="D80" s="577"/>
      <c r="E80" s="577"/>
      <c r="F80" s="577"/>
      <c r="G80" s="577"/>
      <c r="H80" s="577"/>
      <c r="I80" s="577"/>
      <c r="J80" s="577"/>
      <c r="K80" s="577"/>
      <c r="L80" s="577"/>
      <c r="M80" s="577"/>
      <c r="N80" s="577"/>
      <c r="O80" s="577"/>
      <c r="P80" s="577"/>
      <c r="Q80" s="577"/>
      <c r="R80" s="577"/>
      <c r="S80" s="577"/>
      <c r="T80" s="577"/>
      <c r="U80" s="577"/>
      <c r="V80" s="577"/>
      <c r="W80" s="577"/>
      <c r="X80" s="577"/>
      <c r="Y80" s="577"/>
      <c r="Z80" s="577"/>
      <c r="AA80" s="577"/>
      <c r="AB80" s="577"/>
      <c r="AC80" s="577"/>
      <c r="AD80" s="577"/>
      <c r="AE80" s="577"/>
      <c r="AF80" s="577"/>
      <c r="AG80" s="577"/>
      <c r="AH80" s="577"/>
      <c r="AI80" s="577"/>
      <c r="AJ80" s="577"/>
      <c r="AK80" s="577"/>
      <c r="AL80" s="577"/>
      <c r="AM80" s="577"/>
      <c r="AN80" s="577"/>
      <c r="AO80" s="577"/>
      <c r="AP80" s="577"/>
      <c r="AQ80" s="577"/>
      <c r="AR80" s="577"/>
      <c r="AS80" s="577"/>
      <c r="AT80" s="577"/>
      <c r="AU80" s="577"/>
      <c r="AV80" s="577"/>
      <c r="AW80" s="577"/>
      <c r="AX80" s="577"/>
      <c r="AY80" s="577"/>
      <c r="AZ80" s="577"/>
    </row>
    <row r="81" spans="1:52" ht="15.75" customHeight="1" x14ac:dyDescent="0.2">
      <c r="A81" s="577"/>
      <c r="B81" s="577"/>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7"/>
      <c r="AY81" s="577"/>
      <c r="AZ81" s="577"/>
    </row>
    <row r="82" spans="1:52" ht="15.75" customHeight="1" x14ac:dyDescent="0.2">
      <c r="A82" s="577"/>
      <c r="B82" s="577"/>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c r="AO82" s="577"/>
      <c r="AP82" s="577"/>
      <c r="AQ82" s="577"/>
      <c r="AR82" s="577"/>
      <c r="AS82" s="577"/>
      <c r="AT82" s="577"/>
      <c r="AU82" s="577"/>
      <c r="AV82" s="577"/>
      <c r="AW82" s="577"/>
      <c r="AX82" s="577"/>
      <c r="AY82" s="577"/>
      <c r="AZ82" s="577"/>
    </row>
    <row r="83" spans="1:52" ht="15.75" customHeight="1" x14ac:dyDescent="0.2">
      <c r="A83" s="577"/>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c r="AO83" s="577"/>
      <c r="AP83" s="577"/>
      <c r="AQ83" s="577"/>
      <c r="AR83" s="577"/>
      <c r="AS83" s="577"/>
      <c r="AT83" s="577"/>
      <c r="AU83" s="577"/>
      <c r="AV83" s="577"/>
      <c r="AW83" s="577"/>
      <c r="AX83" s="577"/>
      <c r="AY83" s="577"/>
      <c r="AZ83" s="577"/>
    </row>
    <row r="84" spans="1:52" ht="15.75" customHeight="1" x14ac:dyDescent="0.2">
      <c r="A84" s="577"/>
      <c r="B84" s="577"/>
      <c r="C84" s="577"/>
      <c r="D84" s="577"/>
      <c r="E84" s="577"/>
      <c r="F84" s="577"/>
      <c r="G84" s="577"/>
      <c r="H84" s="577"/>
      <c r="I84" s="577"/>
      <c r="J84" s="577"/>
      <c r="K84" s="577"/>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c r="AO84" s="577"/>
      <c r="AP84" s="577"/>
      <c r="AQ84" s="577"/>
      <c r="AR84" s="577"/>
      <c r="AS84" s="577"/>
      <c r="AT84" s="577"/>
      <c r="AU84" s="577"/>
      <c r="AV84" s="577"/>
      <c r="AW84" s="577"/>
      <c r="AX84" s="577"/>
      <c r="AY84" s="577"/>
      <c r="AZ84" s="577"/>
    </row>
    <row r="85" spans="1:52" ht="15.75" customHeight="1" x14ac:dyDescent="0.2">
      <c r="A85" s="577"/>
      <c r="B85" s="577"/>
      <c r="C85" s="577"/>
      <c r="D85" s="577"/>
      <c r="E85" s="577"/>
      <c r="F85" s="577"/>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c r="AO85" s="577"/>
      <c r="AP85" s="577"/>
      <c r="AQ85" s="577"/>
      <c r="AR85" s="577"/>
      <c r="AS85" s="577"/>
      <c r="AT85" s="577"/>
      <c r="AU85" s="577"/>
      <c r="AV85" s="577"/>
      <c r="AW85" s="577"/>
      <c r="AX85" s="577"/>
      <c r="AY85" s="577"/>
      <c r="AZ85" s="577"/>
    </row>
    <row r="86" spans="1:52" ht="15.75" customHeight="1" x14ac:dyDescent="0.2">
      <c r="A86" s="577"/>
      <c r="B86" s="577"/>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577"/>
      <c r="AY86" s="577"/>
      <c r="AZ86" s="577"/>
    </row>
    <row r="87" spans="1:52" ht="15.75" customHeight="1" x14ac:dyDescent="0.2">
      <c r="A87" s="577"/>
      <c r="B87" s="577"/>
      <c r="C87" s="577"/>
      <c r="D87" s="577"/>
      <c r="E87" s="577"/>
      <c r="F87" s="577"/>
      <c r="G87" s="577"/>
      <c r="H87" s="577"/>
      <c r="I87" s="577"/>
      <c r="J87" s="577"/>
      <c r="K87" s="577"/>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c r="AO87" s="577"/>
      <c r="AP87" s="577"/>
      <c r="AQ87" s="577"/>
      <c r="AR87" s="577"/>
      <c r="AS87" s="577"/>
      <c r="AT87" s="577"/>
      <c r="AU87" s="577"/>
      <c r="AV87" s="577"/>
      <c r="AW87" s="577"/>
      <c r="AX87" s="577"/>
      <c r="AY87" s="577"/>
      <c r="AZ87" s="577"/>
    </row>
    <row r="88" spans="1:52" ht="15.75" customHeight="1" x14ac:dyDescent="0.2">
      <c r="A88" s="577"/>
      <c r="B88" s="577"/>
      <c r="C88" s="577"/>
      <c r="D88" s="577"/>
      <c r="E88" s="577"/>
      <c r="F88" s="577"/>
      <c r="G88" s="577"/>
      <c r="H88" s="577"/>
      <c r="I88" s="577"/>
      <c r="J88" s="577"/>
      <c r="K88" s="577"/>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c r="AO88" s="577"/>
      <c r="AP88" s="577"/>
      <c r="AQ88" s="577"/>
      <c r="AR88" s="577"/>
      <c r="AS88" s="577"/>
      <c r="AT88" s="577"/>
      <c r="AU88" s="577"/>
      <c r="AV88" s="577"/>
      <c r="AW88" s="577"/>
      <c r="AX88" s="577"/>
      <c r="AY88" s="577"/>
      <c r="AZ88" s="577"/>
    </row>
    <row r="89" spans="1:52" ht="15.75" customHeight="1" x14ac:dyDescent="0.2">
      <c r="A89" s="577"/>
      <c r="B89" s="577"/>
      <c r="C89" s="577"/>
      <c r="D89" s="577"/>
      <c r="E89" s="577"/>
      <c r="F89" s="577"/>
      <c r="G89" s="577"/>
      <c r="H89" s="577"/>
      <c r="I89" s="577"/>
      <c r="J89" s="577"/>
      <c r="K89" s="577"/>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c r="AO89" s="577"/>
      <c r="AP89" s="577"/>
      <c r="AQ89" s="577"/>
      <c r="AR89" s="577"/>
      <c r="AS89" s="577"/>
      <c r="AT89" s="577"/>
      <c r="AU89" s="577"/>
      <c r="AV89" s="577"/>
      <c r="AW89" s="577"/>
      <c r="AX89" s="577"/>
      <c r="AY89" s="577"/>
      <c r="AZ89" s="577"/>
    </row>
    <row r="90" spans="1:52" ht="15.75" customHeight="1" x14ac:dyDescent="0.2">
      <c r="A90" s="577"/>
      <c r="B90" s="577"/>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c r="AO90" s="577"/>
      <c r="AP90" s="577"/>
      <c r="AQ90" s="577"/>
      <c r="AR90" s="577"/>
      <c r="AS90" s="577"/>
      <c r="AT90" s="577"/>
      <c r="AU90" s="577"/>
      <c r="AV90" s="577"/>
      <c r="AW90" s="577"/>
      <c r="AX90" s="577"/>
      <c r="AY90" s="577"/>
      <c r="AZ90" s="577"/>
    </row>
    <row r="91" spans="1:52" ht="15.75" customHeight="1" x14ac:dyDescent="0.2">
      <c r="A91" s="577"/>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c r="AO91" s="577"/>
      <c r="AP91" s="577"/>
      <c r="AQ91" s="577"/>
      <c r="AR91" s="577"/>
      <c r="AS91" s="577"/>
      <c r="AT91" s="577"/>
      <c r="AU91" s="577"/>
      <c r="AV91" s="577"/>
      <c r="AW91" s="577"/>
      <c r="AX91" s="577"/>
      <c r="AY91" s="577"/>
      <c r="AZ91" s="577"/>
    </row>
    <row r="92" spans="1:52" ht="15.75" customHeight="1" x14ac:dyDescent="0.2">
      <c r="A92" s="577"/>
      <c r="B92" s="577"/>
      <c r="C92" s="577"/>
      <c r="D92" s="577"/>
      <c r="E92" s="577"/>
      <c r="F92" s="577"/>
      <c r="G92" s="577"/>
      <c r="H92" s="577"/>
      <c r="I92" s="577"/>
      <c r="J92" s="577"/>
      <c r="K92" s="577"/>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c r="AO92" s="577"/>
      <c r="AP92" s="577"/>
      <c r="AQ92" s="577"/>
      <c r="AR92" s="577"/>
      <c r="AS92" s="577"/>
      <c r="AT92" s="577"/>
      <c r="AU92" s="577"/>
      <c r="AV92" s="577"/>
      <c r="AW92" s="577"/>
      <c r="AX92" s="577"/>
      <c r="AY92" s="577"/>
      <c r="AZ92" s="577"/>
    </row>
    <row r="93" spans="1:52" ht="15.75" customHeight="1" x14ac:dyDescent="0.2">
      <c r="A93" s="577"/>
      <c r="B93" s="577"/>
      <c r="C93" s="577"/>
      <c r="D93" s="577"/>
      <c r="E93" s="577"/>
      <c r="F93" s="577"/>
      <c r="G93" s="577"/>
      <c r="H93" s="577"/>
      <c r="I93" s="577"/>
      <c r="J93" s="577"/>
      <c r="K93" s="577"/>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c r="AO93" s="577"/>
      <c r="AP93" s="577"/>
      <c r="AQ93" s="577"/>
      <c r="AR93" s="577"/>
      <c r="AS93" s="577"/>
      <c r="AT93" s="577"/>
      <c r="AU93" s="577"/>
      <c r="AV93" s="577"/>
      <c r="AW93" s="577"/>
      <c r="AX93" s="577"/>
      <c r="AY93" s="577"/>
      <c r="AZ93" s="577"/>
    </row>
    <row r="94" spans="1:52" ht="15.75" customHeight="1" x14ac:dyDescent="0.2">
      <c r="A94" s="577"/>
      <c r="B94" s="577"/>
      <c r="C94" s="577"/>
      <c r="D94" s="577"/>
      <c r="E94" s="577"/>
      <c r="F94" s="577"/>
      <c r="G94" s="577"/>
      <c r="H94" s="577"/>
      <c r="I94" s="577"/>
      <c r="J94" s="577"/>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c r="AO94" s="577"/>
      <c r="AP94" s="577"/>
      <c r="AQ94" s="577"/>
      <c r="AR94" s="577"/>
      <c r="AS94" s="577"/>
      <c r="AT94" s="577"/>
      <c r="AU94" s="577"/>
      <c r="AV94" s="577"/>
      <c r="AW94" s="577"/>
      <c r="AX94" s="577"/>
      <c r="AY94" s="577"/>
      <c r="AZ94" s="577"/>
    </row>
    <row r="95" spans="1:52" ht="15.75" customHeight="1" x14ac:dyDescent="0.2">
      <c r="A95" s="577"/>
      <c r="B95" s="577"/>
      <c r="C95" s="577"/>
      <c r="D95" s="577"/>
      <c r="E95" s="577"/>
      <c r="F95" s="577"/>
      <c r="G95" s="577"/>
      <c r="H95" s="577"/>
      <c r="I95" s="577"/>
      <c r="J95" s="577"/>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c r="AO95" s="577"/>
      <c r="AP95" s="577"/>
      <c r="AQ95" s="577"/>
      <c r="AR95" s="577"/>
      <c r="AS95" s="577"/>
      <c r="AT95" s="577"/>
      <c r="AU95" s="577"/>
      <c r="AV95" s="577"/>
      <c r="AW95" s="577"/>
      <c r="AX95" s="577"/>
      <c r="AY95" s="577"/>
      <c r="AZ95" s="577"/>
    </row>
    <row r="96" spans="1:52" ht="15.75" customHeight="1" x14ac:dyDescent="0.2">
      <c r="A96" s="577"/>
      <c r="B96" s="577"/>
      <c r="C96" s="577"/>
      <c r="D96" s="577"/>
      <c r="E96" s="577"/>
      <c r="F96" s="577"/>
      <c r="G96" s="577"/>
      <c r="H96" s="577"/>
      <c r="I96" s="577"/>
      <c r="J96" s="577"/>
      <c r="K96" s="577"/>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c r="AO96" s="577"/>
      <c r="AP96" s="577"/>
      <c r="AQ96" s="577"/>
      <c r="AR96" s="577"/>
      <c r="AS96" s="577"/>
      <c r="AT96" s="577"/>
      <c r="AU96" s="577"/>
      <c r="AV96" s="577"/>
      <c r="AW96" s="577"/>
      <c r="AX96" s="577"/>
      <c r="AY96" s="577"/>
      <c r="AZ96" s="577"/>
    </row>
    <row r="97" spans="1:52" ht="15.75" customHeight="1" x14ac:dyDescent="0.2">
      <c r="A97" s="577"/>
      <c r="B97" s="577"/>
      <c r="C97" s="577"/>
      <c r="D97" s="577"/>
      <c r="E97" s="577"/>
      <c r="F97" s="577"/>
      <c r="G97" s="577"/>
      <c r="H97" s="577"/>
      <c r="I97" s="577"/>
      <c r="J97" s="577"/>
      <c r="K97" s="577"/>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c r="AO97" s="577"/>
      <c r="AP97" s="577"/>
      <c r="AQ97" s="577"/>
      <c r="AR97" s="577"/>
      <c r="AS97" s="577"/>
      <c r="AT97" s="577"/>
      <c r="AU97" s="577"/>
      <c r="AV97" s="577"/>
      <c r="AW97" s="577"/>
      <c r="AX97" s="577"/>
      <c r="AY97" s="577"/>
      <c r="AZ97" s="577"/>
    </row>
    <row r="98" spans="1:52" ht="15.75" customHeight="1" x14ac:dyDescent="0.2">
      <c r="A98" s="577"/>
      <c r="B98" s="577"/>
      <c r="C98" s="577"/>
      <c r="D98" s="577"/>
      <c r="E98" s="577"/>
      <c r="F98" s="577"/>
      <c r="G98" s="577"/>
      <c r="H98" s="577"/>
      <c r="I98" s="577"/>
      <c r="J98" s="577"/>
      <c r="K98" s="577"/>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c r="AO98" s="577"/>
      <c r="AP98" s="577"/>
      <c r="AQ98" s="577"/>
      <c r="AR98" s="577"/>
      <c r="AS98" s="577"/>
      <c r="AT98" s="577"/>
      <c r="AU98" s="577"/>
      <c r="AV98" s="577"/>
      <c r="AW98" s="577"/>
      <c r="AX98" s="577"/>
      <c r="AY98" s="577"/>
      <c r="AZ98" s="577"/>
    </row>
    <row r="99" spans="1:52" ht="15.75" customHeight="1" x14ac:dyDescent="0.2">
      <c r="A99" s="577"/>
      <c r="B99" s="577"/>
      <c r="C99" s="577"/>
      <c r="D99" s="577"/>
      <c r="E99" s="577"/>
      <c r="F99" s="577"/>
      <c r="G99" s="577"/>
      <c r="H99" s="577"/>
      <c r="I99" s="577"/>
      <c r="J99" s="577"/>
      <c r="K99" s="577"/>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c r="AO99" s="577"/>
      <c r="AP99" s="577"/>
      <c r="AQ99" s="577"/>
      <c r="AR99" s="577"/>
      <c r="AS99" s="577"/>
      <c r="AT99" s="577"/>
      <c r="AU99" s="577"/>
      <c r="AV99" s="577"/>
      <c r="AW99" s="577"/>
      <c r="AX99" s="577"/>
      <c r="AY99" s="577"/>
      <c r="AZ99" s="577"/>
    </row>
    <row r="100" spans="1:52" ht="15.75" customHeight="1" x14ac:dyDescent="0.2">
      <c r="A100" s="577"/>
      <c r="B100" s="577"/>
      <c r="C100" s="577"/>
      <c r="D100" s="577"/>
      <c r="E100" s="577"/>
      <c r="F100" s="577"/>
      <c r="G100" s="577"/>
      <c r="H100" s="577"/>
      <c r="I100" s="577"/>
      <c r="J100" s="577"/>
      <c r="K100" s="577"/>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c r="AO100" s="577"/>
      <c r="AP100" s="577"/>
      <c r="AQ100" s="577"/>
      <c r="AR100" s="577"/>
      <c r="AS100" s="577"/>
      <c r="AT100" s="577"/>
      <c r="AU100" s="577"/>
      <c r="AV100" s="577"/>
      <c r="AW100" s="577"/>
      <c r="AX100" s="577"/>
      <c r="AY100" s="577"/>
      <c r="AZ100" s="577"/>
    </row>
    <row r="101" spans="1:52" ht="15.75" customHeight="1" x14ac:dyDescent="0.2">
      <c r="A101" s="577"/>
      <c r="B101" s="577"/>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c r="AO101" s="577"/>
      <c r="AP101" s="577"/>
      <c r="AQ101" s="577"/>
      <c r="AR101" s="577"/>
      <c r="AS101" s="577"/>
      <c r="AT101" s="577"/>
      <c r="AU101" s="577"/>
      <c r="AV101" s="577"/>
      <c r="AW101" s="577"/>
      <c r="AX101" s="577"/>
      <c r="AY101" s="577"/>
      <c r="AZ101" s="577"/>
    </row>
    <row r="102" spans="1:52" ht="15.75" customHeight="1" x14ac:dyDescent="0.2">
      <c r="A102" s="577"/>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c r="AO102" s="577"/>
      <c r="AP102" s="577"/>
      <c r="AQ102" s="577"/>
      <c r="AR102" s="577"/>
      <c r="AS102" s="577"/>
      <c r="AT102" s="577"/>
      <c r="AU102" s="577"/>
      <c r="AV102" s="577"/>
      <c r="AW102" s="577"/>
      <c r="AX102" s="577"/>
      <c r="AY102" s="577"/>
      <c r="AZ102" s="577"/>
    </row>
    <row r="103" spans="1:52" ht="15.75" customHeight="1" x14ac:dyDescent="0.2">
      <c r="A103" s="577"/>
      <c r="B103" s="577"/>
      <c r="C103" s="577"/>
      <c r="D103" s="577"/>
      <c r="E103" s="577"/>
      <c r="F103" s="577"/>
      <c r="G103" s="577"/>
      <c r="H103" s="577"/>
      <c r="I103" s="577"/>
      <c r="J103" s="577"/>
      <c r="K103" s="577"/>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c r="AO103" s="577"/>
      <c r="AP103" s="577"/>
      <c r="AQ103" s="577"/>
      <c r="AR103" s="577"/>
      <c r="AS103" s="577"/>
      <c r="AT103" s="577"/>
      <c r="AU103" s="577"/>
      <c r="AV103" s="577"/>
      <c r="AW103" s="577"/>
      <c r="AX103" s="577"/>
      <c r="AY103" s="577"/>
      <c r="AZ103" s="577"/>
    </row>
    <row r="104" spans="1:52" ht="15.75" customHeight="1" x14ac:dyDescent="0.2">
      <c r="A104" s="577"/>
      <c r="B104" s="577"/>
      <c r="C104" s="577"/>
      <c r="D104" s="577"/>
      <c r="E104" s="577"/>
      <c r="F104" s="577"/>
      <c r="G104" s="577"/>
      <c r="H104" s="577"/>
      <c r="I104" s="577"/>
      <c r="J104" s="577"/>
      <c r="K104" s="577"/>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c r="AO104" s="577"/>
      <c r="AP104" s="577"/>
      <c r="AQ104" s="577"/>
      <c r="AR104" s="577"/>
      <c r="AS104" s="577"/>
      <c r="AT104" s="577"/>
      <c r="AU104" s="577"/>
      <c r="AV104" s="577"/>
      <c r="AW104" s="577"/>
      <c r="AX104" s="577"/>
      <c r="AY104" s="577"/>
      <c r="AZ104" s="577"/>
    </row>
    <row r="105" spans="1:52" ht="15.75" customHeight="1" x14ac:dyDescent="0.2">
      <c r="A105" s="577"/>
      <c r="B105" s="577"/>
      <c r="C105" s="577"/>
      <c r="D105" s="577"/>
      <c r="E105" s="577"/>
      <c r="F105" s="577"/>
      <c r="G105" s="577"/>
      <c r="H105" s="577"/>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row>
    <row r="106" spans="1:52" ht="15.75" customHeight="1" x14ac:dyDescent="0.2">
      <c r="A106" s="577"/>
      <c r="B106" s="577"/>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577"/>
      <c r="AY106" s="577"/>
      <c r="AZ106" s="577"/>
    </row>
    <row r="107" spans="1:52" ht="15.75" customHeight="1" x14ac:dyDescent="0.2">
      <c r="A107" s="577"/>
      <c r="B107" s="577"/>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c r="AO107" s="577"/>
      <c r="AP107" s="577"/>
      <c r="AQ107" s="577"/>
      <c r="AR107" s="577"/>
      <c r="AS107" s="577"/>
      <c r="AT107" s="577"/>
      <c r="AU107" s="577"/>
      <c r="AV107" s="577"/>
      <c r="AW107" s="577"/>
      <c r="AX107" s="577"/>
      <c r="AY107" s="577"/>
      <c r="AZ107" s="577"/>
    </row>
    <row r="108" spans="1:52" ht="15.75" customHeight="1" x14ac:dyDescent="0.2">
      <c r="A108" s="577"/>
      <c r="B108" s="577"/>
      <c r="C108" s="577"/>
      <c r="D108" s="577"/>
      <c r="E108" s="577"/>
      <c r="F108" s="577"/>
      <c r="G108" s="577"/>
      <c r="H108" s="577"/>
      <c r="I108" s="577"/>
      <c r="J108" s="577"/>
      <c r="K108" s="577"/>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c r="AS108" s="577"/>
      <c r="AT108" s="577"/>
      <c r="AU108" s="577"/>
      <c r="AV108" s="577"/>
      <c r="AW108" s="577"/>
      <c r="AX108" s="577"/>
      <c r="AY108" s="577"/>
      <c r="AZ108" s="577"/>
    </row>
    <row r="109" spans="1:52" ht="15.75" customHeight="1" x14ac:dyDescent="0.2">
      <c r="A109" s="577"/>
      <c r="B109" s="577"/>
      <c r="C109" s="577"/>
      <c r="D109" s="577"/>
      <c r="E109" s="577"/>
      <c r="F109" s="577"/>
      <c r="G109" s="577"/>
      <c r="H109" s="577"/>
      <c r="I109" s="577"/>
      <c r="J109" s="577"/>
      <c r="K109" s="577"/>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c r="AO109" s="577"/>
      <c r="AP109" s="577"/>
      <c r="AQ109" s="577"/>
      <c r="AR109" s="577"/>
      <c r="AS109" s="577"/>
      <c r="AT109" s="577"/>
      <c r="AU109" s="577"/>
      <c r="AV109" s="577"/>
      <c r="AW109" s="577"/>
      <c r="AX109" s="577"/>
      <c r="AY109" s="577"/>
      <c r="AZ109" s="577"/>
    </row>
    <row r="110" spans="1:52" ht="15.75" customHeight="1" x14ac:dyDescent="0.2">
      <c r="A110" s="577"/>
      <c r="B110" s="577"/>
      <c r="C110" s="577"/>
      <c r="D110" s="577"/>
      <c r="E110" s="577"/>
      <c r="F110" s="577"/>
      <c r="G110" s="577"/>
      <c r="H110" s="577"/>
      <c r="I110" s="577"/>
      <c r="J110" s="577"/>
      <c r="K110" s="577"/>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c r="AO110" s="577"/>
      <c r="AP110" s="577"/>
      <c r="AQ110" s="577"/>
      <c r="AR110" s="577"/>
      <c r="AS110" s="577"/>
      <c r="AT110" s="577"/>
      <c r="AU110" s="577"/>
      <c r="AV110" s="577"/>
      <c r="AW110" s="577"/>
      <c r="AX110" s="577"/>
      <c r="AY110" s="577"/>
      <c r="AZ110" s="577"/>
    </row>
    <row r="111" spans="1:52" ht="15.75" customHeight="1" x14ac:dyDescent="0.2">
      <c r="A111" s="577"/>
      <c r="B111" s="577"/>
      <c r="C111" s="577"/>
      <c r="D111" s="577"/>
      <c r="E111" s="577"/>
      <c r="F111" s="577"/>
      <c r="G111" s="577"/>
      <c r="H111" s="577"/>
      <c r="I111" s="577"/>
      <c r="J111" s="577"/>
      <c r="K111" s="577"/>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c r="AO111" s="577"/>
      <c r="AP111" s="577"/>
      <c r="AQ111" s="577"/>
      <c r="AR111" s="577"/>
      <c r="AS111" s="577"/>
      <c r="AT111" s="577"/>
      <c r="AU111" s="577"/>
      <c r="AV111" s="577"/>
      <c r="AW111" s="577"/>
      <c r="AX111" s="577"/>
      <c r="AY111" s="577"/>
      <c r="AZ111" s="577"/>
    </row>
    <row r="112" spans="1:52" ht="15.75" customHeight="1" x14ac:dyDescent="0.2">
      <c r="A112" s="577"/>
      <c r="B112" s="577"/>
      <c r="C112" s="577"/>
      <c r="D112" s="577"/>
      <c r="E112" s="577"/>
      <c r="F112" s="577"/>
      <c r="G112" s="577"/>
      <c r="H112" s="577"/>
      <c r="I112" s="577"/>
      <c r="J112" s="577"/>
      <c r="K112" s="577"/>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c r="AO112" s="577"/>
      <c r="AP112" s="577"/>
      <c r="AQ112" s="577"/>
      <c r="AR112" s="577"/>
      <c r="AS112" s="577"/>
      <c r="AT112" s="577"/>
      <c r="AU112" s="577"/>
      <c r="AV112" s="577"/>
      <c r="AW112" s="577"/>
      <c r="AX112" s="577"/>
      <c r="AY112" s="577"/>
      <c r="AZ112" s="577"/>
    </row>
    <row r="113" spans="1:52" ht="15.75" customHeight="1" x14ac:dyDescent="0.2">
      <c r="A113" s="577"/>
      <c r="B113" s="577"/>
      <c r="C113" s="577"/>
      <c r="D113" s="577"/>
      <c r="E113" s="577"/>
      <c r="F113" s="577"/>
      <c r="G113" s="577"/>
      <c r="H113" s="577"/>
      <c r="I113" s="577"/>
      <c r="J113" s="577"/>
      <c r="K113" s="577"/>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c r="AO113" s="577"/>
      <c r="AP113" s="577"/>
      <c r="AQ113" s="577"/>
      <c r="AR113" s="577"/>
      <c r="AS113" s="577"/>
      <c r="AT113" s="577"/>
      <c r="AU113" s="577"/>
      <c r="AV113" s="577"/>
      <c r="AW113" s="577"/>
      <c r="AX113" s="577"/>
      <c r="AY113" s="577"/>
      <c r="AZ113" s="577"/>
    </row>
    <row r="114" spans="1:52" ht="15.75" customHeight="1" x14ac:dyDescent="0.2">
      <c r="A114" s="577"/>
      <c r="B114" s="577"/>
      <c r="C114" s="577"/>
      <c r="D114" s="577"/>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c r="AO114" s="577"/>
      <c r="AP114" s="577"/>
      <c r="AQ114" s="577"/>
      <c r="AR114" s="577"/>
      <c r="AS114" s="577"/>
      <c r="AT114" s="577"/>
      <c r="AU114" s="577"/>
      <c r="AV114" s="577"/>
      <c r="AW114" s="577"/>
      <c r="AX114" s="577"/>
      <c r="AY114" s="577"/>
      <c r="AZ114" s="577"/>
    </row>
    <row r="115" spans="1:52" ht="15.75" customHeight="1" x14ac:dyDescent="0.2">
      <c r="A115" s="577"/>
      <c r="B115" s="577"/>
      <c r="C115" s="577"/>
      <c r="D115" s="577"/>
      <c r="E115" s="577"/>
      <c r="F115" s="577"/>
      <c r="G115" s="577"/>
      <c r="H115" s="577"/>
      <c r="I115" s="577"/>
      <c r="J115" s="577"/>
      <c r="K115" s="577"/>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c r="AO115" s="577"/>
      <c r="AP115" s="577"/>
      <c r="AQ115" s="577"/>
      <c r="AR115" s="577"/>
      <c r="AS115" s="577"/>
      <c r="AT115" s="577"/>
      <c r="AU115" s="577"/>
      <c r="AV115" s="577"/>
      <c r="AW115" s="577"/>
      <c r="AX115" s="577"/>
      <c r="AY115" s="577"/>
      <c r="AZ115" s="577"/>
    </row>
    <row r="116" spans="1:52" ht="15.75" customHeight="1" x14ac:dyDescent="0.2">
      <c r="A116" s="577"/>
      <c r="B116" s="577"/>
      <c r="C116" s="577"/>
      <c r="D116" s="577"/>
      <c r="E116" s="577"/>
      <c r="F116" s="577"/>
      <c r="G116" s="577"/>
      <c r="H116" s="577"/>
      <c r="I116" s="577"/>
      <c r="J116" s="577"/>
      <c r="K116" s="577"/>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c r="AO116" s="577"/>
      <c r="AP116" s="577"/>
      <c r="AQ116" s="577"/>
      <c r="AR116" s="577"/>
      <c r="AS116" s="577"/>
      <c r="AT116" s="577"/>
      <c r="AU116" s="577"/>
      <c r="AV116" s="577"/>
      <c r="AW116" s="577"/>
      <c r="AX116" s="577"/>
      <c r="AY116" s="577"/>
      <c r="AZ116" s="577"/>
    </row>
    <row r="117" spans="1:52" ht="15.75" customHeight="1" x14ac:dyDescent="0.2">
      <c r="A117" s="577"/>
      <c r="B117" s="577"/>
      <c r="C117" s="577"/>
      <c r="D117" s="577"/>
      <c r="E117" s="577"/>
      <c r="F117" s="577"/>
      <c r="G117" s="577"/>
      <c r="H117" s="577"/>
      <c r="I117" s="577"/>
      <c r="J117" s="577"/>
      <c r="K117" s="577"/>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c r="AO117" s="577"/>
      <c r="AP117" s="577"/>
      <c r="AQ117" s="577"/>
      <c r="AR117" s="577"/>
      <c r="AS117" s="577"/>
      <c r="AT117" s="577"/>
      <c r="AU117" s="577"/>
      <c r="AV117" s="577"/>
      <c r="AW117" s="577"/>
      <c r="AX117" s="577"/>
      <c r="AY117" s="577"/>
      <c r="AZ117" s="577"/>
    </row>
    <row r="118" spans="1:52" ht="15.75" customHeight="1" x14ac:dyDescent="0.2">
      <c r="A118" s="577"/>
      <c r="B118" s="577"/>
      <c r="C118" s="577"/>
      <c r="D118" s="577"/>
      <c r="E118" s="577"/>
      <c r="F118" s="577"/>
      <c r="G118" s="577"/>
      <c r="H118" s="577"/>
      <c r="I118" s="577"/>
      <c r="J118" s="577"/>
      <c r="K118" s="577"/>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c r="AO118" s="577"/>
      <c r="AP118" s="577"/>
      <c r="AQ118" s="577"/>
      <c r="AR118" s="577"/>
      <c r="AS118" s="577"/>
      <c r="AT118" s="577"/>
      <c r="AU118" s="577"/>
      <c r="AV118" s="577"/>
      <c r="AW118" s="577"/>
      <c r="AX118" s="577"/>
      <c r="AY118" s="577"/>
      <c r="AZ118" s="577"/>
    </row>
    <row r="119" spans="1:52" ht="15.75" customHeight="1" x14ac:dyDescent="0.2">
      <c r="A119" s="577"/>
      <c r="B119" s="577"/>
      <c r="C119" s="577"/>
      <c r="D119" s="577"/>
      <c r="E119" s="577"/>
      <c r="F119" s="577"/>
      <c r="G119" s="577"/>
      <c r="H119" s="577"/>
      <c r="I119" s="577"/>
      <c r="J119" s="577"/>
      <c r="K119" s="577"/>
      <c r="L119" s="577"/>
      <c r="M119" s="577"/>
      <c r="N119" s="577"/>
      <c r="O119" s="577"/>
      <c r="P119" s="577"/>
      <c r="Q119" s="577"/>
      <c r="R119" s="577"/>
      <c r="S119" s="577"/>
      <c r="T119" s="577"/>
      <c r="U119" s="577"/>
      <c r="V119" s="577"/>
      <c r="W119" s="577"/>
      <c r="X119" s="577"/>
      <c r="Y119" s="577"/>
      <c r="Z119" s="577"/>
      <c r="AA119" s="577"/>
      <c r="AB119" s="577"/>
      <c r="AC119" s="577"/>
      <c r="AD119" s="577"/>
      <c r="AE119" s="577"/>
      <c r="AF119" s="577"/>
      <c r="AG119" s="577"/>
      <c r="AH119" s="577"/>
      <c r="AI119" s="577"/>
      <c r="AJ119" s="577"/>
      <c r="AK119" s="577"/>
      <c r="AL119" s="577"/>
      <c r="AM119" s="577"/>
      <c r="AN119" s="577"/>
      <c r="AO119" s="577"/>
      <c r="AP119" s="577"/>
      <c r="AQ119" s="577"/>
      <c r="AR119" s="577"/>
      <c r="AS119" s="577"/>
      <c r="AT119" s="577"/>
      <c r="AU119" s="577"/>
      <c r="AV119" s="577"/>
      <c r="AW119" s="577"/>
      <c r="AX119" s="577"/>
      <c r="AY119" s="577"/>
      <c r="AZ119" s="577"/>
    </row>
    <row r="120" spans="1:52" ht="15.75" customHeight="1" x14ac:dyDescent="0.2">
      <c r="A120" s="577"/>
      <c r="B120" s="577"/>
      <c r="C120" s="577"/>
      <c r="D120" s="577"/>
      <c r="E120" s="577"/>
      <c r="F120" s="577"/>
      <c r="G120" s="577"/>
      <c r="H120" s="577"/>
      <c r="I120" s="577"/>
      <c r="J120" s="577"/>
      <c r="K120" s="577"/>
      <c r="L120" s="577"/>
      <c r="M120" s="577"/>
      <c r="N120" s="577"/>
      <c r="O120" s="577"/>
      <c r="P120" s="577"/>
      <c r="Q120" s="577"/>
      <c r="R120" s="577"/>
      <c r="S120" s="577"/>
      <c r="T120" s="577"/>
      <c r="U120" s="577"/>
      <c r="V120" s="577"/>
      <c r="W120" s="577"/>
      <c r="X120" s="577"/>
      <c r="Y120" s="577"/>
      <c r="Z120" s="577"/>
      <c r="AA120" s="577"/>
      <c r="AB120" s="577"/>
      <c r="AC120" s="577"/>
      <c r="AD120" s="577"/>
      <c r="AE120" s="577"/>
      <c r="AF120" s="577"/>
      <c r="AG120" s="577"/>
      <c r="AH120" s="577"/>
      <c r="AI120" s="577"/>
      <c r="AJ120" s="577"/>
      <c r="AK120" s="577"/>
      <c r="AL120" s="577"/>
      <c r="AM120" s="577"/>
      <c r="AN120" s="577"/>
      <c r="AO120" s="577"/>
      <c r="AP120" s="577"/>
      <c r="AQ120" s="577"/>
      <c r="AR120" s="577"/>
      <c r="AS120" s="577"/>
      <c r="AT120" s="577"/>
      <c r="AU120" s="577"/>
      <c r="AV120" s="577"/>
      <c r="AW120" s="577"/>
      <c r="AX120" s="577"/>
      <c r="AY120" s="577"/>
      <c r="AZ120" s="577"/>
    </row>
    <row r="121" spans="1:52" ht="15.75" customHeight="1" x14ac:dyDescent="0.2">
      <c r="A121" s="577"/>
      <c r="B121" s="577"/>
      <c r="C121" s="577"/>
      <c r="D121" s="577"/>
      <c r="E121" s="577"/>
      <c r="F121" s="577"/>
      <c r="G121" s="577"/>
      <c r="H121" s="577"/>
      <c r="I121" s="577"/>
      <c r="J121" s="577"/>
      <c r="K121" s="577"/>
      <c r="L121" s="577"/>
      <c r="M121" s="577"/>
      <c r="N121" s="577"/>
      <c r="O121" s="577"/>
      <c r="P121" s="577"/>
      <c r="Q121" s="577"/>
      <c r="R121" s="577"/>
      <c r="S121" s="577"/>
      <c r="T121" s="577"/>
      <c r="U121" s="577"/>
      <c r="V121" s="577"/>
      <c r="W121" s="577"/>
      <c r="X121" s="577"/>
      <c r="Y121" s="577"/>
      <c r="Z121" s="577"/>
      <c r="AA121" s="577"/>
      <c r="AB121" s="577"/>
      <c r="AC121" s="577"/>
      <c r="AD121" s="577"/>
      <c r="AE121" s="577"/>
      <c r="AF121" s="577"/>
      <c r="AG121" s="577"/>
      <c r="AH121" s="577"/>
      <c r="AI121" s="577"/>
      <c r="AJ121" s="577"/>
      <c r="AK121" s="577"/>
      <c r="AL121" s="577"/>
      <c r="AM121" s="577"/>
      <c r="AN121" s="577"/>
      <c r="AO121" s="577"/>
      <c r="AP121" s="577"/>
      <c r="AQ121" s="577"/>
      <c r="AR121" s="577"/>
      <c r="AS121" s="577"/>
      <c r="AT121" s="577"/>
      <c r="AU121" s="577"/>
      <c r="AV121" s="577"/>
      <c r="AW121" s="577"/>
      <c r="AX121" s="577"/>
      <c r="AY121" s="577"/>
      <c r="AZ121" s="577"/>
    </row>
    <row r="122" spans="1:52" ht="15.75" customHeight="1" x14ac:dyDescent="0.2">
      <c r="A122" s="577"/>
      <c r="B122" s="577"/>
      <c r="C122" s="577"/>
      <c r="D122" s="577"/>
      <c r="E122" s="577"/>
      <c r="F122" s="577"/>
      <c r="G122" s="577"/>
      <c r="H122" s="577"/>
      <c r="I122" s="577"/>
      <c r="J122" s="577"/>
      <c r="K122" s="577"/>
      <c r="L122" s="577"/>
      <c r="M122" s="577"/>
      <c r="N122" s="577"/>
      <c r="O122" s="577"/>
      <c r="P122" s="577"/>
      <c r="Q122" s="577"/>
      <c r="R122" s="577"/>
      <c r="S122" s="577"/>
      <c r="T122" s="577"/>
      <c r="U122" s="577"/>
      <c r="V122" s="577"/>
      <c r="W122" s="577"/>
      <c r="X122" s="577"/>
      <c r="Y122" s="577"/>
      <c r="Z122" s="577"/>
      <c r="AA122" s="577"/>
      <c r="AB122" s="577"/>
      <c r="AC122" s="577"/>
      <c r="AD122" s="577"/>
      <c r="AE122" s="577"/>
      <c r="AF122" s="577"/>
      <c r="AG122" s="577"/>
      <c r="AH122" s="577"/>
      <c r="AI122" s="577"/>
      <c r="AJ122" s="577"/>
      <c r="AK122" s="577"/>
      <c r="AL122" s="577"/>
      <c r="AM122" s="577"/>
      <c r="AN122" s="577"/>
      <c r="AO122" s="577"/>
      <c r="AP122" s="577"/>
      <c r="AQ122" s="577"/>
      <c r="AR122" s="577"/>
      <c r="AS122" s="577"/>
      <c r="AT122" s="577"/>
      <c r="AU122" s="577"/>
      <c r="AV122" s="577"/>
      <c r="AW122" s="577"/>
      <c r="AX122" s="577"/>
      <c r="AY122" s="577"/>
      <c r="AZ122" s="577"/>
    </row>
    <row r="123" spans="1:52" ht="15.75" customHeight="1" x14ac:dyDescent="0.2">
      <c r="A123" s="577"/>
      <c r="B123" s="577"/>
      <c r="C123" s="577"/>
      <c r="D123" s="577"/>
      <c r="E123" s="577"/>
      <c r="F123" s="577"/>
      <c r="G123" s="577"/>
      <c r="H123" s="577"/>
      <c r="I123" s="577"/>
      <c r="J123" s="577"/>
      <c r="K123" s="577"/>
      <c r="L123" s="577"/>
      <c r="M123" s="577"/>
      <c r="N123" s="577"/>
      <c r="O123" s="577"/>
      <c r="P123" s="577"/>
      <c r="Q123" s="577"/>
      <c r="R123" s="577"/>
      <c r="S123" s="577"/>
      <c r="T123" s="577"/>
      <c r="U123" s="577"/>
      <c r="V123" s="577"/>
      <c r="W123" s="577"/>
      <c r="X123" s="577"/>
      <c r="Y123" s="577"/>
      <c r="Z123" s="577"/>
      <c r="AA123" s="577"/>
      <c r="AB123" s="577"/>
      <c r="AC123" s="577"/>
      <c r="AD123" s="577"/>
      <c r="AE123" s="577"/>
      <c r="AF123" s="577"/>
      <c r="AG123" s="577"/>
      <c r="AH123" s="577"/>
      <c r="AI123" s="577"/>
      <c r="AJ123" s="577"/>
      <c r="AK123" s="577"/>
      <c r="AL123" s="577"/>
      <c r="AM123" s="577"/>
      <c r="AN123" s="577"/>
      <c r="AO123" s="577"/>
      <c r="AP123" s="577"/>
      <c r="AQ123" s="577"/>
      <c r="AR123" s="577"/>
      <c r="AS123" s="577"/>
      <c r="AT123" s="577"/>
      <c r="AU123" s="577"/>
      <c r="AV123" s="577"/>
      <c r="AW123" s="577"/>
      <c r="AX123" s="577"/>
      <c r="AY123" s="577"/>
      <c r="AZ123" s="577"/>
    </row>
    <row r="124" spans="1:52" ht="15.75" customHeight="1" x14ac:dyDescent="0.2">
      <c r="A124" s="577"/>
      <c r="B124" s="577"/>
      <c r="C124" s="577"/>
      <c r="D124" s="577"/>
      <c r="E124" s="577"/>
      <c r="F124" s="577"/>
      <c r="G124" s="577"/>
      <c r="H124" s="577"/>
      <c r="I124" s="577"/>
      <c r="J124" s="577"/>
      <c r="K124" s="577"/>
      <c r="L124" s="577"/>
      <c r="M124" s="577"/>
      <c r="N124" s="577"/>
      <c r="O124" s="577"/>
      <c r="P124" s="577"/>
      <c r="Q124" s="577"/>
      <c r="R124" s="577"/>
      <c r="S124" s="577"/>
      <c r="T124" s="577"/>
      <c r="U124" s="577"/>
      <c r="V124" s="577"/>
      <c r="W124" s="577"/>
      <c r="X124" s="577"/>
      <c r="Y124" s="577"/>
      <c r="Z124" s="577"/>
      <c r="AA124" s="577"/>
      <c r="AB124" s="577"/>
      <c r="AC124" s="577"/>
      <c r="AD124" s="577"/>
      <c r="AE124" s="577"/>
      <c r="AF124" s="577"/>
      <c r="AG124" s="577"/>
      <c r="AH124" s="577"/>
      <c r="AI124" s="577"/>
      <c r="AJ124" s="577"/>
      <c r="AK124" s="577"/>
      <c r="AL124" s="577"/>
      <c r="AM124" s="577"/>
      <c r="AN124" s="577"/>
      <c r="AO124" s="577"/>
      <c r="AP124" s="577"/>
      <c r="AQ124" s="577"/>
      <c r="AR124" s="577"/>
      <c r="AS124" s="577"/>
      <c r="AT124" s="577"/>
      <c r="AU124" s="577"/>
      <c r="AV124" s="577"/>
      <c r="AW124" s="577"/>
      <c r="AX124" s="577"/>
      <c r="AY124" s="577"/>
      <c r="AZ124" s="577"/>
    </row>
    <row r="125" spans="1:52" ht="15.75" customHeight="1" x14ac:dyDescent="0.2">
      <c r="A125" s="577"/>
      <c r="B125" s="577"/>
      <c r="C125" s="577"/>
      <c r="D125" s="577"/>
      <c r="E125" s="577"/>
      <c r="F125" s="577"/>
      <c r="G125" s="577"/>
      <c r="H125" s="577"/>
      <c r="I125" s="577"/>
      <c r="J125" s="577"/>
      <c r="K125" s="577"/>
      <c r="L125" s="577"/>
      <c r="M125" s="577"/>
      <c r="N125" s="577"/>
      <c r="O125" s="577"/>
      <c r="P125" s="577"/>
      <c r="Q125" s="577"/>
      <c r="R125" s="577"/>
      <c r="S125" s="577"/>
      <c r="T125" s="577"/>
      <c r="U125" s="577"/>
      <c r="V125" s="577"/>
      <c r="W125" s="577"/>
      <c r="X125" s="577"/>
      <c r="Y125" s="577"/>
      <c r="Z125" s="577"/>
      <c r="AA125" s="577"/>
      <c r="AB125" s="577"/>
      <c r="AC125" s="577"/>
      <c r="AD125" s="577"/>
      <c r="AE125" s="577"/>
      <c r="AF125" s="577"/>
      <c r="AG125" s="577"/>
      <c r="AH125" s="577"/>
      <c r="AI125" s="577"/>
      <c r="AJ125" s="577"/>
      <c r="AK125" s="577"/>
      <c r="AL125" s="577"/>
      <c r="AM125" s="577"/>
      <c r="AN125" s="577"/>
      <c r="AO125" s="577"/>
      <c r="AP125" s="577"/>
      <c r="AQ125" s="577"/>
      <c r="AR125" s="577"/>
      <c r="AS125" s="577"/>
      <c r="AT125" s="577"/>
      <c r="AU125" s="577"/>
      <c r="AV125" s="577"/>
      <c r="AW125" s="577"/>
      <c r="AX125" s="577"/>
      <c r="AY125" s="577"/>
      <c r="AZ125" s="577"/>
    </row>
    <row r="126" spans="1:52" ht="15.75" customHeight="1" x14ac:dyDescent="0.2">
      <c r="A126" s="577"/>
      <c r="B126" s="577"/>
      <c r="C126" s="577"/>
      <c r="D126" s="577"/>
      <c r="E126" s="577"/>
      <c r="F126" s="577"/>
      <c r="G126" s="577"/>
      <c r="H126" s="577"/>
      <c r="I126" s="577"/>
      <c r="J126" s="577"/>
      <c r="K126" s="577"/>
      <c r="L126" s="577"/>
      <c r="M126" s="577"/>
      <c r="N126" s="577"/>
      <c r="O126" s="577"/>
      <c r="P126" s="577"/>
      <c r="Q126" s="577"/>
      <c r="R126" s="577"/>
      <c r="S126" s="577"/>
      <c r="T126" s="577"/>
      <c r="U126" s="577"/>
      <c r="V126" s="577"/>
      <c r="W126" s="577"/>
      <c r="X126" s="577"/>
      <c r="Y126" s="577"/>
      <c r="Z126" s="577"/>
      <c r="AA126" s="577"/>
      <c r="AB126" s="577"/>
      <c r="AC126" s="577"/>
      <c r="AD126" s="577"/>
      <c r="AE126" s="577"/>
      <c r="AF126" s="577"/>
      <c r="AG126" s="577"/>
      <c r="AH126" s="577"/>
      <c r="AI126" s="577"/>
      <c r="AJ126" s="577"/>
      <c r="AK126" s="577"/>
      <c r="AL126" s="577"/>
      <c r="AM126" s="577"/>
      <c r="AN126" s="577"/>
      <c r="AO126" s="577"/>
      <c r="AP126" s="577"/>
      <c r="AQ126" s="577"/>
      <c r="AR126" s="577"/>
      <c r="AS126" s="577"/>
      <c r="AT126" s="577"/>
      <c r="AU126" s="577"/>
      <c r="AV126" s="577"/>
      <c r="AW126" s="577"/>
      <c r="AX126" s="577"/>
      <c r="AY126" s="577"/>
      <c r="AZ126" s="577"/>
    </row>
    <row r="127" spans="1:52" ht="15.75" customHeight="1" x14ac:dyDescent="0.2">
      <c r="A127" s="577"/>
      <c r="B127" s="577"/>
      <c r="C127" s="577"/>
      <c r="D127" s="577"/>
      <c r="E127" s="577"/>
      <c r="F127" s="577"/>
      <c r="G127" s="577"/>
      <c r="H127" s="577"/>
      <c r="I127" s="577"/>
      <c r="J127" s="577"/>
      <c r="K127" s="577"/>
      <c r="L127" s="577"/>
      <c r="M127" s="577"/>
      <c r="N127" s="577"/>
      <c r="O127" s="577"/>
      <c r="P127" s="577"/>
      <c r="Q127" s="577"/>
      <c r="R127" s="577"/>
      <c r="S127" s="577"/>
      <c r="T127" s="577"/>
      <c r="U127" s="577"/>
      <c r="V127" s="577"/>
      <c r="W127" s="577"/>
      <c r="X127" s="577"/>
      <c r="Y127" s="577"/>
      <c r="Z127" s="577"/>
      <c r="AA127" s="577"/>
      <c r="AB127" s="577"/>
      <c r="AC127" s="577"/>
      <c r="AD127" s="577"/>
      <c r="AE127" s="577"/>
      <c r="AF127" s="577"/>
      <c r="AG127" s="577"/>
      <c r="AH127" s="577"/>
      <c r="AI127" s="577"/>
      <c r="AJ127" s="577"/>
      <c r="AK127" s="577"/>
      <c r="AL127" s="577"/>
      <c r="AM127" s="577"/>
      <c r="AN127" s="577"/>
      <c r="AO127" s="577"/>
      <c r="AP127" s="577"/>
      <c r="AQ127" s="577"/>
      <c r="AR127" s="577"/>
      <c r="AS127" s="577"/>
      <c r="AT127" s="577"/>
      <c r="AU127" s="577"/>
      <c r="AV127" s="577"/>
      <c r="AW127" s="577"/>
      <c r="AX127" s="577"/>
      <c r="AY127" s="577"/>
      <c r="AZ127" s="577"/>
    </row>
    <row r="128" spans="1:52" ht="15.75" customHeight="1" x14ac:dyDescent="0.2">
      <c r="A128" s="577"/>
      <c r="B128" s="577"/>
      <c r="C128" s="577"/>
      <c r="D128" s="577"/>
      <c r="E128" s="577"/>
      <c r="F128" s="577"/>
      <c r="G128" s="577"/>
      <c r="H128" s="577"/>
      <c r="I128" s="577"/>
      <c r="J128" s="577"/>
      <c r="K128" s="577"/>
      <c r="L128" s="577"/>
      <c r="M128" s="577"/>
      <c r="N128" s="577"/>
      <c r="O128" s="577"/>
      <c r="P128" s="577"/>
      <c r="Q128" s="577"/>
      <c r="R128" s="577"/>
      <c r="S128" s="577"/>
      <c r="T128" s="577"/>
      <c r="U128" s="577"/>
      <c r="V128" s="577"/>
      <c r="W128" s="577"/>
      <c r="X128" s="577"/>
      <c r="Y128" s="577"/>
      <c r="Z128" s="577"/>
      <c r="AA128" s="577"/>
      <c r="AB128" s="577"/>
      <c r="AC128" s="577"/>
      <c r="AD128" s="577"/>
      <c r="AE128" s="577"/>
      <c r="AF128" s="577"/>
      <c r="AG128" s="577"/>
      <c r="AH128" s="577"/>
      <c r="AI128" s="577"/>
      <c r="AJ128" s="577"/>
      <c r="AK128" s="577"/>
      <c r="AL128" s="577"/>
      <c r="AM128" s="577"/>
      <c r="AN128" s="577"/>
      <c r="AO128" s="577"/>
      <c r="AP128" s="577"/>
      <c r="AQ128" s="577"/>
      <c r="AR128" s="577"/>
      <c r="AS128" s="577"/>
      <c r="AT128" s="577"/>
      <c r="AU128" s="577"/>
      <c r="AV128" s="577"/>
      <c r="AW128" s="577"/>
      <c r="AX128" s="577"/>
      <c r="AY128" s="577"/>
      <c r="AZ128" s="577"/>
    </row>
    <row r="129" spans="1:52" ht="15.75" customHeight="1" x14ac:dyDescent="0.2">
      <c r="A129" s="577"/>
      <c r="B129" s="577"/>
      <c r="C129" s="577"/>
      <c r="D129" s="577"/>
      <c r="E129" s="577"/>
      <c r="F129" s="577"/>
      <c r="G129" s="577"/>
      <c r="H129" s="577"/>
      <c r="I129" s="577"/>
      <c r="J129" s="577"/>
      <c r="K129" s="577"/>
      <c r="L129" s="577"/>
      <c r="M129" s="577"/>
      <c r="N129" s="577"/>
      <c r="O129" s="577"/>
      <c r="P129" s="577"/>
      <c r="Q129" s="577"/>
      <c r="R129" s="577"/>
      <c r="S129" s="577"/>
      <c r="T129" s="577"/>
      <c r="U129" s="577"/>
      <c r="V129" s="577"/>
      <c r="W129" s="577"/>
      <c r="X129" s="577"/>
      <c r="Y129" s="577"/>
      <c r="Z129" s="577"/>
      <c r="AA129" s="577"/>
      <c r="AB129" s="577"/>
      <c r="AC129" s="577"/>
      <c r="AD129" s="577"/>
      <c r="AE129" s="577"/>
      <c r="AF129" s="577"/>
      <c r="AG129" s="577"/>
      <c r="AH129" s="577"/>
      <c r="AI129" s="577"/>
      <c r="AJ129" s="577"/>
      <c r="AK129" s="577"/>
      <c r="AL129" s="577"/>
      <c r="AM129" s="577"/>
      <c r="AN129" s="577"/>
      <c r="AO129" s="577"/>
      <c r="AP129" s="577"/>
      <c r="AQ129" s="577"/>
      <c r="AR129" s="577"/>
      <c r="AS129" s="577"/>
      <c r="AT129" s="577"/>
      <c r="AU129" s="577"/>
      <c r="AV129" s="577"/>
      <c r="AW129" s="577"/>
      <c r="AX129" s="577"/>
      <c r="AY129" s="577"/>
      <c r="AZ129" s="577"/>
    </row>
    <row r="130" spans="1:52" ht="15.75" customHeight="1" x14ac:dyDescent="0.2">
      <c r="A130" s="577"/>
      <c r="B130" s="577"/>
      <c r="C130" s="577"/>
      <c r="D130" s="577"/>
      <c r="E130" s="577"/>
      <c r="F130" s="577"/>
      <c r="G130" s="577"/>
      <c r="H130" s="577"/>
      <c r="I130" s="577"/>
      <c r="J130" s="577"/>
      <c r="K130" s="577"/>
      <c r="L130" s="577"/>
      <c r="M130" s="577"/>
      <c r="N130" s="577"/>
      <c r="O130" s="577"/>
      <c r="P130" s="577"/>
      <c r="Q130" s="577"/>
      <c r="R130" s="577"/>
      <c r="S130" s="577"/>
      <c r="T130" s="577"/>
      <c r="U130" s="577"/>
      <c r="V130" s="577"/>
      <c r="W130" s="577"/>
      <c r="X130" s="577"/>
      <c r="Y130" s="577"/>
      <c r="Z130" s="577"/>
      <c r="AA130" s="577"/>
      <c r="AB130" s="577"/>
      <c r="AC130" s="577"/>
      <c r="AD130" s="577"/>
      <c r="AE130" s="577"/>
      <c r="AF130" s="577"/>
      <c r="AG130" s="577"/>
      <c r="AH130" s="577"/>
      <c r="AI130" s="577"/>
      <c r="AJ130" s="577"/>
      <c r="AK130" s="577"/>
      <c r="AL130" s="577"/>
      <c r="AM130" s="577"/>
      <c r="AN130" s="577"/>
      <c r="AO130" s="577"/>
      <c r="AP130" s="577"/>
      <c r="AQ130" s="577"/>
      <c r="AR130" s="577"/>
      <c r="AS130" s="577"/>
      <c r="AT130" s="577"/>
      <c r="AU130" s="577"/>
      <c r="AV130" s="577"/>
      <c r="AW130" s="577"/>
      <c r="AX130" s="577"/>
      <c r="AY130" s="577"/>
      <c r="AZ130" s="577"/>
    </row>
    <row r="131" spans="1:52" ht="15.75" customHeight="1" x14ac:dyDescent="0.2">
      <c r="A131" s="577"/>
      <c r="B131" s="577"/>
      <c r="C131" s="577"/>
      <c r="D131" s="577"/>
      <c r="E131" s="577"/>
      <c r="F131" s="577"/>
      <c r="G131" s="577"/>
      <c r="H131" s="577"/>
      <c r="I131" s="577"/>
      <c r="J131" s="577"/>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7"/>
      <c r="AK131" s="577"/>
      <c r="AL131" s="577"/>
      <c r="AM131" s="577"/>
      <c r="AN131" s="577"/>
      <c r="AO131" s="577"/>
      <c r="AP131" s="577"/>
      <c r="AQ131" s="577"/>
      <c r="AR131" s="577"/>
      <c r="AS131" s="577"/>
      <c r="AT131" s="577"/>
      <c r="AU131" s="577"/>
      <c r="AV131" s="577"/>
      <c r="AW131" s="577"/>
      <c r="AX131" s="577"/>
      <c r="AY131" s="577"/>
      <c r="AZ131" s="577"/>
    </row>
    <row r="132" spans="1:52" ht="15.75" customHeight="1" x14ac:dyDescent="0.2">
      <c r="A132" s="577"/>
      <c r="B132" s="577"/>
      <c r="C132" s="577"/>
      <c r="D132" s="577"/>
      <c r="E132" s="577"/>
      <c r="F132" s="577"/>
      <c r="G132" s="577"/>
      <c r="H132" s="577"/>
      <c r="I132" s="577"/>
      <c r="J132" s="577"/>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7"/>
      <c r="AK132" s="577"/>
      <c r="AL132" s="577"/>
      <c r="AM132" s="577"/>
      <c r="AN132" s="577"/>
      <c r="AO132" s="577"/>
      <c r="AP132" s="577"/>
      <c r="AQ132" s="577"/>
      <c r="AR132" s="577"/>
      <c r="AS132" s="577"/>
      <c r="AT132" s="577"/>
      <c r="AU132" s="577"/>
      <c r="AV132" s="577"/>
      <c r="AW132" s="577"/>
      <c r="AX132" s="577"/>
      <c r="AY132" s="577"/>
      <c r="AZ132" s="577"/>
    </row>
    <row r="133" spans="1:52" ht="15.75" customHeight="1" x14ac:dyDescent="0.2">
      <c r="A133" s="577"/>
      <c r="B133" s="577"/>
      <c r="C133" s="577"/>
      <c r="D133" s="577"/>
      <c r="E133" s="577"/>
      <c r="F133" s="577"/>
      <c r="G133" s="577"/>
      <c r="H133" s="577"/>
      <c r="I133" s="577"/>
      <c r="J133" s="577"/>
      <c r="K133" s="577"/>
      <c r="L133" s="577"/>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7"/>
      <c r="AK133" s="577"/>
      <c r="AL133" s="577"/>
      <c r="AM133" s="577"/>
      <c r="AN133" s="577"/>
      <c r="AO133" s="577"/>
      <c r="AP133" s="577"/>
      <c r="AQ133" s="577"/>
      <c r="AR133" s="577"/>
      <c r="AS133" s="577"/>
      <c r="AT133" s="577"/>
      <c r="AU133" s="577"/>
      <c r="AV133" s="577"/>
      <c r="AW133" s="577"/>
      <c r="AX133" s="577"/>
      <c r="AY133" s="577"/>
      <c r="AZ133" s="577"/>
    </row>
    <row r="134" spans="1:52" ht="15.75" customHeight="1" x14ac:dyDescent="0.2">
      <c r="A134" s="577"/>
      <c r="B134" s="577"/>
      <c r="C134" s="577"/>
      <c r="D134" s="577"/>
      <c r="E134" s="577"/>
      <c r="F134" s="577"/>
      <c r="G134" s="577"/>
      <c r="H134" s="577"/>
      <c r="I134" s="577"/>
      <c r="J134" s="577"/>
      <c r="K134" s="577"/>
      <c r="L134" s="577"/>
      <c r="M134" s="577"/>
      <c r="N134" s="577"/>
      <c r="O134" s="577"/>
      <c r="P134" s="577"/>
      <c r="Q134" s="577"/>
      <c r="R134" s="577"/>
      <c r="S134" s="577"/>
      <c r="T134" s="577"/>
      <c r="U134" s="577"/>
      <c r="V134" s="577"/>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c r="AY134" s="577"/>
      <c r="AZ134" s="577"/>
    </row>
    <row r="135" spans="1:52" ht="15.75" customHeight="1" x14ac:dyDescent="0.2">
      <c r="A135" s="577"/>
      <c r="B135" s="577"/>
      <c r="C135" s="577"/>
      <c r="D135" s="577"/>
      <c r="E135" s="577"/>
      <c r="F135" s="577"/>
      <c r="G135" s="577"/>
      <c r="H135" s="577"/>
      <c r="I135" s="577"/>
      <c r="J135" s="577"/>
      <c r="K135" s="577"/>
      <c r="L135" s="577"/>
      <c r="M135" s="577"/>
      <c r="N135" s="577"/>
      <c r="O135" s="577"/>
      <c r="P135" s="577"/>
      <c r="Q135" s="577"/>
      <c r="R135" s="577"/>
      <c r="S135" s="577"/>
      <c r="T135" s="577"/>
      <c r="U135" s="577"/>
      <c r="V135" s="577"/>
      <c r="W135" s="577"/>
      <c r="X135" s="577"/>
      <c r="Y135" s="577"/>
      <c r="Z135" s="577"/>
      <c r="AA135" s="577"/>
      <c r="AB135" s="577"/>
      <c r="AC135" s="577"/>
      <c r="AD135" s="577"/>
      <c r="AE135" s="577"/>
      <c r="AF135" s="577"/>
      <c r="AG135" s="577"/>
      <c r="AH135" s="577"/>
      <c r="AI135" s="577"/>
      <c r="AJ135" s="577"/>
      <c r="AK135" s="577"/>
      <c r="AL135" s="577"/>
      <c r="AM135" s="577"/>
      <c r="AN135" s="577"/>
      <c r="AO135" s="577"/>
      <c r="AP135" s="577"/>
      <c r="AQ135" s="577"/>
      <c r="AR135" s="577"/>
      <c r="AS135" s="577"/>
      <c r="AT135" s="577"/>
      <c r="AU135" s="577"/>
      <c r="AV135" s="577"/>
      <c r="AW135" s="577"/>
      <c r="AX135" s="577"/>
      <c r="AY135" s="577"/>
      <c r="AZ135" s="577"/>
    </row>
    <row r="136" spans="1:52" ht="15.75" customHeight="1" x14ac:dyDescent="0.2">
      <c r="A136" s="577"/>
      <c r="B136" s="577"/>
      <c r="C136" s="577"/>
      <c r="D136" s="577"/>
      <c r="E136" s="577"/>
      <c r="F136" s="577"/>
      <c r="G136" s="577"/>
      <c r="H136" s="577"/>
      <c r="I136" s="577"/>
      <c r="J136" s="577"/>
      <c r="K136" s="577"/>
      <c r="L136" s="577"/>
      <c r="M136" s="577"/>
      <c r="N136" s="577"/>
      <c r="O136" s="577"/>
      <c r="P136" s="577"/>
      <c r="Q136" s="577"/>
      <c r="R136" s="577"/>
      <c r="S136" s="577"/>
      <c r="T136" s="577"/>
      <c r="U136" s="577"/>
      <c r="V136" s="577"/>
      <c r="W136" s="577"/>
      <c r="X136" s="577"/>
      <c r="Y136" s="577"/>
      <c r="Z136" s="577"/>
      <c r="AA136" s="577"/>
      <c r="AB136" s="577"/>
      <c r="AC136" s="577"/>
      <c r="AD136" s="577"/>
      <c r="AE136" s="577"/>
      <c r="AF136" s="577"/>
      <c r="AG136" s="577"/>
      <c r="AH136" s="577"/>
      <c r="AI136" s="577"/>
      <c r="AJ136" s="577"/>
      <c r="AK136" s="577"/>
      <c r="AL136" s="577"/>
      <c r="AM136" s="577"/>
      <c r="AN136" s="577"/>
      <c r="AO136" s="577"/>
      <c r="AP136" s="577"/>
      <c r="AQ136" s="577"/>
      <c r="AR136" s="577"/>
      <c r="AS136" s="577"/>
      <c r="AT136" s="577"/>
      <c r="AU136" s="577"/>
      <c r="AV136" s="577"/>
      <c r="AW136" s="577"/>
      <c r="AX136" s="577"/>
      <c r="AY136" s="577"/>
      <c r="AZ136" s="577"/>
    </row>
    <row r="137" spans="1:52" ht="15.75" customHeight="1" x14ac:dyDescent="0.2">
      <c r="A137" s="577"/>
      <c r="B137" s="577"/>
      <c r="C137" s="577"/>
      <c r="D137" s="577"/>
      <c r="E137" s="577"/>
      <c r="F137" s="577"/>
      <c r="G137" s="577"/>
      <c r="H137" s="577"/>
      <c r="I137" s="577"/>
      <c r="J137" s="577"/>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7"/>
      <c r="AK137" s="577"/>
      <c r="AL137" s="577"/>
      <c r="AM137" s="577"/>
      <c r="AN137" s="577"/>
      <c r="AO137" s="577"/>
      <c r="AP137" s="577"/>
      <c r="AQ137" s="577"/>
      <c r="AR137" s="577"/>
      <c r="AS137" s="577"/>
      <c r="AT137" s="577"/>
      <c r="AU137" s="577"/>
      <c r="AV137" s="577"/>
      <c r="AW137" s="577"/>
      <c r="AX137" s="577"/>
      <c r="AY137" s="577"/>
      <c r="AZ137" s="577"/>
    </row>
    <row r="138" spans="1:52" ht="15.75" customHeight="1" x14ac:dyDescent="0.2">
      <c r="A138" s="577"/>
      <c r="B138" s="577"/>
      <c r="C138" s="577"/>
      <c r="D138" s="577"/>
      <c r="E138" s="577"/>
      <c r="F138" s="577"/>
      <c r="G138" s="577"/>
      <c r="H138" s="577"/>
      <c r="I138" s="577"/>
      <c r="J138" s="577"/>
      <c r="K138" s="577"/>
      <c r="L138" s="577"/>
      <c r="M138" s="577"/>
      <c r="N138" s="577"/>
      <c r="O138" s="577"/>
      <c r="P138" s="577"/>
      <c r="Q138" s="577"/>
      <c r="R138" s="577"/>
      <c r="S138" s="577"/>
      <c r="T138" s="577"/>
      <c r="U138" s="577"/>
      <c r="V138" s="577"/>
      <c r="W138" s="577"/>
      <c r="X138" s="577"/>
      <c r="Y138" s="577"/>
      <c r="Z138" s="577"/>
      <c r="AA138" s="577"/>
      <c r="AB138" s="577"/>
      <c r="AC138" s="577"/>
      <c r="AD138" s="577"/>
      <c r="AE138" s="577"/>
      <c r="AF138" s="577"/>
      <c r="AG138" s="577"/>
      <c r="AH138" s="577"/>
      <c r="AI138" s="577"/>
      <c r="AJ138" s="577"/>
      <c r="AK138" s="577"/>
      <c r="AL138" s="577"/>
      <c r="AM138" s="577"/>
      <c r="AN138" s="577"/>
      <c r="AO138" s="577"/>
      <c r="AP138" s="577"/>
      <c r="AQ138" s="577"/>
      <c r="AR138" s="577"/>
      <c r="AS138" s="577"/>
      <c r="AT138" s="577"/>
      <c r="AU138" s="577"/>
      <c r="AV138" s="577"/>
      <c r="AW138" s="577"/>
      <c r="AX138" s="577"/>
      <c r="AY138" s="577"/>
      <c r="AZ138" s="577"/>
    </row>
    <row r="139" spans="1:52" ht="15.75" customHeight="1" x14ac:dyDescent="0.2">
      <c r="A139" s="577"/>
      <c r="B139" s="577"/>
      <c r="C139" s="577"/>
      <c r="D139" s="577"/>
      <c r="E139" s="577"/>
      <c r="F139" s="577"/>
      <c r="G139" s="577"/>
      <c r="H139" s="577"/>
      <c r="I139" s="577"/>
      <c r="J139" s="577"/>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7"/>
      <c r="AK139" s="577"/>
      <c r="AL139" s="577"/>
      <c r="AM139" s="577"/>
      <c r="AN139" s="577"/>
      <c r="AO139" s="577"/>
      <c r="AP139" s="577"/>
      <c r="AQ139" s="577"/>
      <c r="AR139" s="577"/>
      <c r="AS139" s="577"/>
      <c r="AT139" s="577"/>
      <c r="AU139" s="577"/>
      <c r="AV139" s="577"/>
      <c r="AW139" s="577"/>
      <c r="AX139" s="577"/>
      <c r="AY139" s="577"/>
      <c r="AZ139" s="577"/>
    </row>
    <row r="140" spans="1:52" ht="15.75" customHeight="1" x14ac:dyDescent="0.2">
      <c r="A140" s="577"/>
      <c r="B140" s="577"/>
      <c r="C140" s="577"/>
      <c r="D140" s="577"/>
      <c r="E140" s="577"/>
      <c r="F140" s="577"/>
      <c r="G140" s="577"/>
      <c r="H140" s="577"/>
      <c r="I140" s="577"/>
      <c r="J140" s="577"/>
      <c r="K140" s="577"/>
      <c r="L140" s="577"/>
      <c r="M140" s="577"/>
      <c r="N140" s="577"/>
      <c r="O140" s="577"/>
      <c r="P140" s="577"/>
      <c r="Q140" s="577"/>
      <c r="R140" s="577"/>
      <c r="S140" s="577"/>
      <c r="T140" s="577"/>
      <c r="U140" s="577"/>
      <c r="V140" s="577"/>
      <c r="W140" s="577"/>
      <c r="X140" s="577"/>
      <c r="Y140" s="577"/>
      <c r="Z140" s="577"/>
      <c r="AA140" s="577"/>
      <c r="AB140" s="577"/>
      <c r="AC140" s="577"/>
      <c r="AD140" s="577"/>
      <c r="AE140" s="577"/>
      <c r="AF140" s="577"/>
      <c r="AG140" s="577"/>
      <c r="AH140" s="577"/>
      <c r="AI140" s="577"/>
      <c r="AJ140" s="577"/>
      <c r="AK140" s="577"/>
      <c r="AL140" s="577"/>
      <c r="AM140" s="577"/>
      <c r="AN140" s="577"/>
      <c r="AO140" s="577"/>
      <c r="AP140" s="577"/>
      <c r="AQ140" s="577"/>
      <c r="AR140" s="577"/>
      <c r="AS140" s="577"/>
      <c r="AT140" s="577"/>
      <c r="AU140" s="577"/>
      <c r="AV140" s="577"/>
      <c r="AW140" s="577"/>
      <c r="AX140" s="577"/>
      <c r="AY140" s="577"/>
      <c r="AZ140" s="577"/>
    </row>
    <row r="141" spans="1:52" ht="15.75" customHeight="1" x14ac:dyDescent="0.2">
      <c r="A141" s="577"/>
      <c r="B141" s="577"/>
      <c r="C141" s="577"/>
      <c r="D141" s="577"/>
      <c r="E141" s="577"/>
      <c r="F141" s="577"/>
      <c r="G141" s="577"/>
      <c r="H141" s="577"/>
      <c r="I141" s="577"/>
      <c r="J141" s="577"/>
      <c r="K141" s="577"/>
      <c r="L141" s="577"/>
      <c r="M141" s="577"/>
      <c r="N141" s="577"/>
      <c r="O141" s="577"/>
      <c r="P141" s="577"/>
      <c r="Q141" s="577"/>
      <c r="R141" s="577"/>
      <c r="S141" s="577"/>
      <c r="T141" s="577"/>
      <c r="U141" s="577"/>
      <c r="V141" s="577"/>
      <c r="W141" s="577"/>
      <c r="X141" s="577"/>
      <c r="Y141" s="577"/>
      <c r="Z141" s="577"/>
      <c r="AA141" s="577"/>
      <c r="AB141" s="577"/>
      <c r="AC141" s="577"/>
      <c r="AD141" s="577"/>
      <c r="AE141" s="577"/>
      <c r="AF141" s="577"/>
      <c r="AG141" s="577"/>
      <c r="AH141" s="577"/>
      <c r="AI141" s="577"/>
      <c r="AJ141" s="577"/>
      <c r="AK141" s="577"/>
      <c r="AL141" s="577"/>
      <c r="AM141" s="577"/>
      <c r="AN141" s="577"/>
      <c r="AO141" s="577"/>
      <c r="AP141" s="577"/>
      <c r="AQ141" s="577"/>
      <c r="AR141" s="577"/>
      <c r="AS141" s="577"/>
      <c r="AT141" s="577"/>
      <c r="AU141" s="577"/>
      <c r="AV141" s="577"/>
      <c r="AW141" s="577"/>
      <c r="AX141" s="577"/>
      <c r="AY141" s="577"/>
      <c r="AZ141" s="577"/>
    </row>
    <row r="142" spans="1:52" ht="15.75" customHeight="1" x14ac:dyDescent="0.2">
      <c r="A142" s="577"/>
      <c r="B142" s="577"/>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E142" s="577"/>
      <c r="AF142" s="577"/>
      <c r="AG142" s="577"/>
      <c r="AH142" s="577"/>
      <c r="AI142" s="577"/>
      <c r="AJ142" s="577"/>
      <c r="AK142" s="577"/>
      <c r="AL142" s="577"/>
      <c r="AM142" s="577"/>
      <c r="AN142" s="577"/>
      <c r="AO142" s="577"/>
      <c r="AP142" s="577"/>
      <c r="AQ142" s="577"/>
      <c r="AR142" s="577"/>
      <c r="AS142" s="577"/>
      <c r="AT142" s="577"/>
      <c r="AU142" s="577"/>
      <c r="AV142" s="577"/>
      <c r="AW142" s="577"/>
      <c r="AX142" s="577"/>
      <c r="AY142" s="577"/>
      <c r="AZ142" s="577"/>
    </row>
    <row r="143" spans="1:52" ht="15.75" customHeight="1" x14ac:dyDescent="0.2">
      <c r="A143" s="577"/>
      <c r="B143" s="577"/>
      <c r="C143" s="577"/>
      <c r="D143" s="577"/>
      <c r="E143" s="577"/>
      <c r="F143" s="577"/>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c r="AJ143" s="577"/>
      <c r="AK143" s="577"/>
      <c r="AL143" s="577"/>
      <c r="AM143" s="577"/>
      <c r="AN143" s="577"/>
      <c r="AO143" s="577"/>
      <c r="AP143" s="577"/>
      <c r="AQ143" s="577"/>
      <c r="AR143" s="577"/>
      <c r="AS143" s="577"/>
      <c r="AT143" s="577"/>
      <c r="AU143" s="577"/>
      <c r="AV143" s="577"/>
      <c r="AW143" s="577"/>
      <c r="AX143" s="577"/>
      <c r="AY143" s="577"/>
      <c r="AZ143" s="577"/>
    </row>
    <row r="144" spans="1:52" ht="15.75" customHeight="1" x14ac:dyDescent="0.2">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c r="AJ144" s="577"/>
      <c r="AK144" s="577"/>
      <c r="AL144" s="577"/>
      <c r="AM144" s="577"/>
      <c r="AN144" s="577"/>
      <c r="AO144" s="577"/>
      <c r="AP144" s="577"/>
      <c r="AQ144" s="577"/>
      <c r="AR144" s="577"/>
      <c r="AS144" s="577"/>
      <c r="AT144" s="577"/>
      <c r="AU144" s="577"/>
      <c r="AV144" s="577"/>
      <c r="AW144" s="577"/>
      <c r="AX144" s="577"/>
      <c r="AY144" s="577"/>
      <c r="AZ144" s="577"/>
    </row>
    <row r="145" spans="1:52" ht="15.75" customHeight="1" x14ac:dyDescent="0.2">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c r="AJ145" s="577"/>
      <c r="AK145" s="577"/>
      <c r="AL145" s="577"/>
      <c r="AM145" s="577"/>
      <c r="AN145" s="577"/>
      <c r="AO145" s="577"/>
      <c r="AP145" s="577"/>
      <c r="AQ145" s="577"/>
      <c r="AR145" s="577"/>
      <c r="AS145" s="577"/>
      <c r="AT145" s="577"/>
      <c r="AU145" s="577"/>
      <c r="AV145" s="577"/>
      <c r="AW145" s="577"/>
      <c r="AX145" s="577"/>
      <c r="AY145" s="577"/>
      <c r="AZ145" s="577"/>
    </row>
    <row r="146" spans="1:52" ht="15.75" customHeight="1" x14ac:dyDescent="0.2">
      <c r="A146" s="577"/>
      <c r="B146" s="577"/>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7"/>
      <c r="AO146" s="577"/>
      <c r="AP146" s="577"/>
      <c r="AQ146" s="577"/>
      <c r="AR146" s="577"/>
      <c r="AS146" s="577"/>
      <c r="AT146" s="577"/>
      <c r="AU146" s="577"/>
      <c r="AV146" s="577"/>
      <c r="AW146" s="577"/>
      <c r="AX146" s="577"/>
      <c r="AY146" s="577"/>
      <c r="AZ146" s="577"/>
    </row>
    <row r="147" spans="1:52" ht="15.75" customHeight="1" x14ac:dyDescent="0.2">
      <c r="A147" s="577"/>
      <c r="B147" s="577"/>
      <c r="C147" s="577"/>
      <c r="D147" s="577"/>
      <c r="E147" s="577"/>
      <c r="F147" s="577"/>
      <c r="G147" s="577"/>
      <c r="H147" s="577"/>
      <c r="I147" s="577"/>
      <c r="J147" s="577"/>
      <c r="K147" s="577"/>
      <c r="L147" s="577"/>
      <c r="M147" s="577"/>
      <c r="N147" s="577"/>
      <c r="O147" s="577"/>
      <c r="P147" s="577"/>
      <c r="Q147" s="577"/>
      <c r="R147" s="577"/>
      <c r="S147" s="577"/>
      <c r="T147" s="577"/>
      <c r="U147" s="577"/>
      <c r="V147" s="577"/>
      <c r="W147" s="577"/>
      <c r="X147" s="577"/>
      <c r="Y147" s="577"/>
      <c r="Z147" s="577"/>
      <c r="AA147" s="577"/>
      <c r="AB147" s="577"/>
      <c r="AC147" s="577"/>
      <c r="AD147" s="577"/>
      <c r="AE147" s="577"/>
      <c r="AF147" s="577"/>
      <c r="AG147" s="577"/>
      <c r="AH147" s="577"/>
      <c r="AI147" s="577"/>
      <c r="AJ147" s="577"/>
      <c r="AK147" s="577"/>
      <c r="AL147" s="577"/>
      <c r="AM147" s="577"/>
      <c r="AN147" s="577"/>
      <c r="AO147" s="577"/>
      <c r="AP147" s="577"/>
      <c r="AQ147" s="577"/>
      <c r="AR147" s="577"/>
      <c r="AS147" s="577"/>
      <c r="AT147" s="577"/>
      <c r="AU147" s="577"/>
      <c r="AV147" s="577"/>
      <c r="AW147" s="577"/>
      <c r="AX147" s="577"/>
      <c r="AY147" s="577"/>
      <c r="AZ147" s="577"/>
    </row>
    <row r="148" spans="1:52" ht="15.75" customHeight="1" x14ac:dyDescent="0.2">
      <c r="A148" s="577"/>
      <c r="B148" s="577"/>
      <c r="C148" s="577"/>
      <c r="D148" s="577"/>
      <c r="E148" s="577"/>
      <c r="F148" s="577"/>
      <c r="G148" s="577"/>
      <c r="H148" s="577"/>
      <c r="I148" s="577"/>
      <c r="J148" s="577"/>
      <c r="K148" s="577"/>
      <c r="L148" s="577"/>
      <c r="M148" s="577"/>
      <c r="N148" s="577"/>
      <c r="O148" s="577"/>
      <c r="P148" s="577"/>
      <c r="Q148" s="577"/>
      <c r="R148" s="577"/>
      <c r="S148" s="577"/>
      <c r="T148" s="577"/>
      <c r="U148" s="577"/>
      <c r="V148" s="577"/>
      <c r="W148" s="577"/>
      <c r="X148" s="577"/>
      <c r="Y148" s="577"/>
      <c r="Z148" s="577"/>
      <c r="AA148" s="577"/>
      <c r="AB148" s="577"/>
      <c r="AC148" s="577"/>
      <c r="AD148" s="577"/>
      <c r="AE148" s="577"/>
      <c r="AF148" s="577"/>
      <c r="AG148" s="577"/>
      <c r="AH148" s="577"/>
      <c r="AI148" s="577"/>
      <c r="AJ148" s="577"/>
      <c r="AK148" s="577"/>
      <c r="AL148" s="577"/>
      <c r="AM148" s="577"/>
      <c r="AN148" s="577"/>
      <c r="AO148" s="577"/>
      <c r="AP148" s="577"/>
      <c r="AQ148" s="577"/>
      <c r="AR148" s="577"/>
      <c r="AS148" s="577"/>
      <c r="AT148" s="577"/>
      <c r="AU148" s="577"/>
      <c r="AV148" s="577"/>
      <c r="AW148" s="577"/>
      <c r="AX148" s="577"/>
      <c r="AY148" s="577"/>
      <c r="AZ148" s="577"/>
    </row>
    <row r="149" spans="1:52" ht="15.75" customHeight="1" x14ac:dyDescent="0.2">
      <c r="A149" s="577"/>
      <c r="B149" s="577"/>
      <c r="C149" s="577"/>
      <c r="D149" s="577"/>
      <c r="E149" s="577"/>
      <c r="F149" s="577"/>
      <c r="G149" s="577"/>
      <c r="H149" s="577"/>
      <c r="I149" s="577"/>
      <c r="J149" s="577"/>
      <c r="K149" s="577"/>
      <c r="L149" s="577"/>
      <c r="M149" s="577"/>
      <c r="N149" s="577"/>
      <c r="O149" s="577"/>
      <c r="P149" s="577"/>
      <c r="Q149" s="577"/>
      <c r="R149" s="577"/>
      <c r="S149" s="577"/>
      <c r="T149" s="577"/>
      <c r="U149" s="577"/>
      <c r="V149" s="577"/>
      <c r="W149" s="577"/>
      <c r="X149" s="577"/>
      <c r="Y149" s="577"/>
      <c r="Z149" s="577"/>
      <c r="AA149" s="577"/>
      <c r="AB149" s="577"/>
      <c r="AC149" s="577"/>
      <c r="AD149" s="577"/>
      <c r="AE149" s="577"/>
      <c r="AF149" s="577"/>
      <c r="AG149" s="577"/>
      <c r="AH149" s="577"/>
      <c r="AI149" s="577"/>
      <c r="AJ149" s="577"/>
      <c r="AK149" s="577"/>
      <c r="AL149" s="577"/>
      <c r="AM149" s="577"/>
      <c r="AN149" s="577"/>
      <c r="AO149" s="577"/>
      <c r="AP149" s="577"/>
      <c r="AQ149" s="577"/>
      <c r="AR149" s="577"/>
      <c r="AS149" s="577"/>
      <c r="AT149" s="577"/>
      <c r="AU149" s="577"/>
      <c r="AV149" s="577"/>
      <c r="AW149" s="577"/>
      <c r="AX149" s="577"/>
      <c r="AY149" s="577"/>
      <c r="AZ149" s="577"/>
    </row>
    <row r="150" spans="1:52" ht="15.75" customHeight="1" x14ac:dyDescent="0.2">
      <c r="A150" s="577"/>
      <c r="B150" s="577"/>
      <c r="C150" s="577"/>
      <c r="D150" s="577"/>
      <c r="E150" s="577"/>
      <c r="F150" s="577"/>
      <c r="G150" s="577"/>
      <c r="H150" s="577"/>
      <c r="I150" s="577"/>
      <c r="J150" s="577"/>
      <c r="K150" s="577"/>
      <c r="L150" s="577"/>
      <c r="M150" s="577"/>
      <c r="N150" s="577"/>
      <c r="O150" s="577"/>
      <c r="P150" s="577"/>
      <c r="Q150" s="577"/>
      <c r="R150" s="577"/>
      <c r="S150" s="577"/>
      <c r="T150" s="577"/>
      <c r="U150" s="577"/>
      <c r="V150" s="577"/>
      <c r="W150" s="577"/>
      <c r="X150" s="577"/>
      <c r="Y150" s="577"/>
      <c r="Z150" s="577"/>
      <c r="AA150" s="577"/>
      <c r="AB150" s="577"/>
      <c r="AC150" s="577"/>
      <c r="AD150" s="577"/>
      <c r="AE150" s="577"/>
      <c r="AF150" s="577"/>
      <c r="AG150" s="577"/>
      <c r="AH150" s="577"/>
      <c r="AI150" s="577"/>
      <c r="AJ150" s="577"/>
      <c r="AK150" s="577"/>
      <c r="AL150" s="577"/>
      <c r="AM150" s="577"/>
      <c r="AN150" s="577"/>
      <c r="AO150" s="577"/>
      <c r="AP150" s="577"/>
      <c r="AQ150" s="577"/>
      <c r="AR150" s="577"/>
      <c r="AS150" s="577"/>
      <c r="AT150" s="577"/>
      <c r="AU150" s="577"/>
      <c r="AV150" s="577"/>
      <c r="AW150" s="577"/>
      <c r="AX150" s="577"/>
      <c r="AY150" s="577"/>
      <c r="AZ150" s="577"/>
    </row>
    <row r="151" spans="1:52" ht="15.75" customHeight="1" x14ac:dyDescent="0.2">
      <c r="A151" s="577"/>
      <c r="B151" s="577"/>
      <c r="C151" s="577"/>
      <c r="D151" s="577"/>
      <c r="E151" s="577"/>
      <c r="F151" s="577"/>
      <c r="G151" s="577"/>
      <c r="H151" s="577"/>
      <c r="I151" s="577"/>
      <c r="J151" s="577"/>
      <c r="K151" s="577"/>
      <c r="L151" s="577"/>
      <c r="M151" s="577"/>
      <c r="N151" s="577"/>
      <c r="O151" s="577"/>
      <c r="P151" s="577"/>
      <c r="Q151" s="577"/>
      <c r="R151" s="577"/>
      <c r="S151" s="577"/>
      <c r="T151" s="577"/>
      <c r="U151" s="577"/>
      <c r="V151" s="577"/>
      <c r="W151" s="577"/>
      <c r="X151" s="577"/>
      <c r="Y151" s="577"/>
      <c r="Z151" s="577"/>
      <c r="AA151" s="577"/>
      <c r="AB151" s="577"/>
      <c r="AC151" s="577"/>
      <c r="AD151" s="577"/>
      <c r="AE151" s="577"/>
      <c r="AF151" s="577"/>
      <c r="AG151" s="577"/>
      <c r="AH151" s="577"/>
      <c r="AI151" s="577"/>
      <c r="AJ151" s="577"/>
      <c r="AK151" s="577"/>
      <c r="AL151" s="577"/>
      <c r="AM151" s="577"/>
      <c r="AN151" s="577"/>
      <c r="AO151" s="577"/>
      <c r="AP151" s="577"/>
      <c r="AQ151" s="577"/>
      <c r="AR151" s="577"/>
      <c r="AS151" s="577"/>
      <c r="AT151" s="577"/>
      <c r="AU151" s="577"/>
      <c r="AV151" s="577"/>
      <c r="AW151" s="577"/>
      <c r="AX151" s="577"/>
      <c r="AY151" s="577"/>
      <c r="AZ151" s="577"/>
    </row>
    <row r="152" spans="1:52" ht="15.75" customHeight="1" x14ac:dyDescent="0.2">
      <c r="A152" s="577"/>
      <c r="B152" s="577"/>
      <c r="C152" s="577"/>
      <c r="D152" s="577"/>
      <c r="E152" s="577"/>
      <c r="F152" s="577"/>
      <c r="G152" s="577"/>
      <c r="H152" s="577"/>
      <c r="I152" s="577"/>
      <c r="J152" s="577"/>
      <c r="K152" s="577"/>
      <c r="L152" s="577"/>
      <c r="M152" s="577"/>
      <c r="N152" s="577"/>
      <c r="O152" s="577"/>
      <c r="P152" s="577"/>
      <c r="Q152" s="577"/>
      <c r="R152" s="577"/>
      <c r="S152" s="577"/>
      <c r="T152" s="577"/>
      <c r="U152" s="577"/>
      <c r="V152" s="577"/>
      <c r="W152" s="577"/>
      <c r="X152" s="577"/>
      <c r="Y152" s="577"/>
      <c r="Z152" s="577"/>
      <c r="AA152" s="577"/>
      <c r="AB152" s="577"/>
      <c r="AC152" s="577"/>
      <c r="AD152" s="577"/>
      <c r="AE152" s="577"/>
      <c r="AF152" s="577"/>
      <c r="AG152" s="577"/>
      <c r="AH152" s="577"/>
      <c r="AI152" s="577"/>
      <c r="AJ152" s="577"/>
      <c r="AK152" s="577"/>
      <c r="AL152" s="577"/>
      <c r="AM152" s="577"/>
      <c r="AN152" s="577"/>
      <c r="AO152" s="577"/>
      <c r="AP152" s="577"/>
      <c r="AQ152" s="577"/>
      <c r="AR152" s="577"/>
      <c r="AS152" s="577"/>
      <c r="AT152" s="577"/>
      <c r="AU152" s="577"/>
      <c r="AV152" s="577"/>
      <c r="AW152" s="577"/>
      <c r="AX152" s="577"/>
      <c r="AY152" s="577"/>
      <c r="AZ152" s="577"/>
    </row>
    <row r="153" spans="1:52" ht="15.75" customHeight="1" x14ac:dyDescent="0.2">
      <c r="A153" s="577"/>
      <c r="B153" s="577"/>
      <c r="C153" s="577"/>
      <c r="D153" s="577"/>
      <c r="E153" s="577"/>
      <c r="F153" s="577"/>
      <c r="G153" s="577"/>
      <c r="H153" s="577"/>
      <c r="I153" s="577"/>
      <c r="J153" s="577"/>
      <c r="K153" s="577"/>
      <c r="L153" s="577"/>
      <c r="M153" s="577"/>
      <c r="N153" s="577"/>
      <c r="O153" s="577"/>
      <c r="P153" s="577"/>
      <c r="Q153" s="577"/>
      <c r="R153" s="577"/>
      <c r="S153" s="577"/>
      <c r="T153" s="577"/>
      <c r="U153" s="577"/>
      <c r="V153" s="577"/>
      <c r="W153" s="577"/>
      <c r="X153" s="577"/>
      <c r="Y153" s="577"/>
      <c r="Z153" s="577"/>
      <c r="AA153" s="577"/>
      <c r="AB153" s="577"/>
      <c r="AC153" s="577"/>
      <c r="AD153" s="577"/>
      <c r="AE153" s="577"/>
      <c r="AF153" s="577"/>
      <c r="AG153" s="577"/>
      <c r="AH153" s="577"/>
      <c r="AI153" s="577"/>
      <c r="AJ153" s="577"/>
      <c r="AK153" s="577"/>
      <c r="AL153" s="577"/>
      <c r="AM153" s="577"/>
      <c r="AN153" s="577"/>
      <c r="AO153" s="577"/>
      <c r="AP153" s="577"/>
      <c r="AQ153" s="577"/>
      <c r="AR153" s="577"/>
      <c r="AS153" s="577"/>
      <c r="AT153" s="577"/>
      <c r="AU153" s="577"/>
      <c r="AV153" s="577"/>
      <c r="AW153" s="577"/>
      <c r="AX153" s="577"/>
      <c r="AY153" s="577"/>
      <c r="AZ153" s="577"/>
    </row>
    <row r="154" spans="1:52" ht="15.75" customHeight="1" x14ac:dyDescent="0.2">
      <c r="A154" s="577"/>
      <c r="B154" s="577"/>
      <c r="C154" s="577"/>
      <c r="D154" s="577"/>
      <c r="E154" s="577"/>
      <c r="F154" s="577"/>
      <c r="G154" s="577"/>
      <c r="H154" s="577"/>
      <c r="I154" s="577"/>
      <c r="J154" s="577"/>
      <c r="K154" s="577"/>
      <c r="L154" s="577"/>
      <c r="M154" s="577"/>
      <c r="N154" s="577"/>
      <c r="O154" s="577"/>
      <c r="P154" s="577"/>
      <c r="Q154" s="577"/>
      <c r="R154" s="577"/>
      <c r="S154" s="577"/>
      <c r="T154" s="577"/>
      <c r="U154" s="577"/>
      <c r="V154" s="577"/>
      <c r="W154" s="577"/>
      <c r="X154" s="577"/>
      <c r="Y154" s="577"/>
      <c r="Z154" s="577"/>
      <c r="AA154" s="577"/>
      <c r="AB154" s="577"/>
      <c r="AC154" s="577"/>
      <c r="AD154" s="577"/>
      <c r="AE154" s="577"/>
      <c r="AF154" s="577"/>
      <c r="AG154" s="577"/>
      <c r="AH154" s="577"/>
      <c r="AI154" s="577"/>
      <c r="AJ154" s="577"/>
      <c r="AK154" s="577"/>
      <c r="AL154" s="577"/>
      <c r="AM154" s="577"/>
      <c r="AN154" s="577"/>
      <c r="AO154" s="577"/>
      <c r="AP154" s="577"/>
      <c r="AQ154" s="577"/>
      <c r="AR154" s="577"/>
      <c r="AS154" s="577"/>
      <c r="AT154" s="577"/>
      <c r="AU154" s="577"/>
      <c r="AV154" s="577"/>
      <c r="AW154" s="577"/>
      <c r="AX154" s="577"/>
      <c r="AY154" s="577"/>
      <c r="AZ154" s="577"/>
    </row>
    <row r="155" spans="1:52" ht="15.75" customHeight="1" x14ac:dyDescent="0.2">
      <c r="A155" s="577"/>
      <c r="B155" s="577"/>
      <c r="C155" s="577"/>
      <c r="D155" s="577"/>
      <c r="E155" s="577"/>
      <c r="F155" s="577"/>
      <c r="G155" s="577"/>
      <c r="H155" s="577"/>
      <c r="I155" s="577"/>
      <c r="J155" s="577"/>
      <c r="K155" s="577"/>
      <c r="L155" s="577"/>
      <c r="M155" s="577"/>
      <c r="N155" s="577"/>
      <c r="O155" s="577"/>
      <c r="P155" s="577"/>
      <c r="Q155" s="577"/>
      <c r="R155" s="577"/>
      <c r="S155" s="577"/>
      <c r="T155" s="577"/>
      <c r="U155" s="577"/>
      <c r="V155" s="577"/>
      <c r="W155" s="577"/>
      <c r="X155" s="577"/>
      <c r="Y155" s="577"/>
      <c r="Z155" s="577"/>
      <c r="AA155" s="577"/>
      <c r="AB155" s="577"/>
      <c r="AC155" s="577"/>
      <c r="AD155" s="577"/>
      <c r="AE155" s="577"/>
      <c r="AF155" s="577"/>
      <c r="AG155" s="577"/>
      <c r="AH155" s="577"/>
      <c r="AI155" s="577"/>
      <c r="AJ155" s="577"/>
      <c r="AK155" s="577"/>
      <c r="AL155" s="577"/>
      <c r="AM155" s="577"/>
      <c r="AN155" s="577"/>
      <c r="AO155" s="577"/>
      <c r="AP155" s="577"/>
      <c r="AQ155" s="577"/>
      <c r="AR155" s="577"/>
      <c r="AS155" s="577"/>
      <c r="AT155" s="577"/>
      <c r="AU155" s="577"/>
      <c r="AV155" s="577"/>
      <c r="AW155" s="577"/>
      <c r="AX155" s="577"/>
      <c r="AY155" s="577"/>
      <c r="AZ155" s="577"/>
    </row>
    <row r="156" spans="1:52" ht="15.75" customHeight="1" x14ac:dyDescent="0.2">
      <c r="A156" s="577"/>
      <c r="B156" s="577"/>
      <c r="C156" s="577"/>
      <c r="D156" s="577"/>
      <c r="E156" s="577"/>
      <c r="F156" s="577"/>
      <c r="G156" s="577"/>
      <c r="H156" s="577"/>
      <c r="I156" s="577"/>
      <c r="J156" s="577"/>
      <c r="K156" s="577"/>
      <c r="L156" s="577"/>
      <c r="M156" s="577"/>
      <c r="N156" s="577"/>
      <c r="O156" s="577"/>
      <c r="P156" s="577"/>
      <c r="Q156" s="577"/>
      <c r="R156" s="577"/>
      <c r="S156" s="577"/>
      <c r="T156" s="577"/>
      <c r="U156" s="577"/>
      <c r="V156" s="577"/>
      <c r="W156" s="577"/>
      <c r="X156" s="577"/>
      <c r="Y156" s="577"/>
      <c r="Z156" s="577"/>
      <c r="AA156" s="577"/>
      <c r="AB156" s="577"/>
      <c r="AC156" s="577"/>
      <c r="AD156" s="577"/>
      <c r="AE156" s="577"/>
      <c r="AF156" s="577"/>
      <c r="AG156" s="577"/>
      <c r="AH156" s="577"/>
      <c r="AI156" s="577"/>
      <c r="AJ156" s="577"/>
      <c r="AK156" s="577"/>
      <c r="AL156" s="577"/>
      <c r="AM156" s="577"/>
      <c r="AN156" s="577"/>
      <c r="AO156" s="577"/>
      <c r="AP156" s="577"/>
      <c r="AQ156" s="577"/>
      <c r="AR156" s="577"/>
      <c r="AS156" s="577"/>
      <c r="AT156" s="577"/>
      <c r="AU156" s="577"/>
      <c r="AV156" s="577"/>
      <c r="AW156" s="577"/>
      <c r="AX156" s="577"/>
      <c r="AY156" s="577"/>
      <c r="AZ156" s="577"/>
    </row>
    <row r="157" spans="1:52" ht="15.75" customHeight="1" x14ac:dyDescent="0.2">
      <c r="A157" s="577"/>
      <c r="B157" s="577"/>
      <c r="C157" s="577"/>
      <c r="D157" s="577"/>
      <c r="E157" s="577"/>
      <c r="F157" s="577"/>
      <c r="G157" s="577"/>
      <c r="H157" s="577"/>
      <c r="I157" s="577"/>
      <c r="J157" s="577"/>
      <c r="K157" s="577"/>
      <c r="L157" s="577"/>
      <c r="M157" s="577"/>
      <c r="N157" s="577"/>
      <c r="O157" s="577"/>
      <c r="P157" s="577"/>
      <c r="Q157" s="577"/>
      <c r="R157" s="577"/>
      <c r="S157" s="577"/>
      <c r="T157" s="577"/>
      <c r="U157" s="577"/>
      <c r="V157" s="577"/>
      <c r="W157" s="577"/>
      <c r="X157" s="577"/>
      <c r="Y157" s="577"/>
      <c r="Z157" s="577"/>
      <c r="AA157" s="577"/>
      <c r="AB157" s="577"/>
      <c r="AC157" s="577"/>
      <c r="AD157" s="577"/>
      <c r="AE157" s="577"/>
      <c r="AF157" s="577"/>
      <c r="AG157" s="577"/>
      <c r="AH157" s="577"/>
      <c r="AI157" s="577"/>
      <c r="AJ157" s="577"/>
      <c r="AK157" s="577"/>
      <c r="AL157" s="577"/>
      <c r="AM157" s="577"/>
      <c r="AN157" s="577"/>
      <c r="AO157" s="577"/>
      <c r="AP157" s="577"/>
      <c r="AQ157" s="577"/>
      <c r="AR157" s="577"/>
      <c r="AS157" s="577"/>
      <c r="AT157" s="577"/>
      <c r="AU157" s="577"/>
      <c r="AV157" s="577"/>
      <c r="AW157" s="577"/>
      <c r="AX157" s="577"/>
      <c r="AY157" s="577"/>
      <c r="AZ157" s="577"/>
    </row>
    <row r="158" spans="1:52" ht="15.75" customHeight="1" x14ac:dyDescent="0.2">
      <c r="A158" s="577"/>
      <c r="B158" s="577"/>
      <c r="C158" s="577"/>
      <c r="D158" s="577"/>
      <c r="E158" s="577"/>
      <c r="F158" s="577"/>
      <c r="G158" s="577"/>
      <c r="H158" s="577"/>
      <c r="I158" s="577"/>
      <c r="J158" s="577"/>
      <c r="K158" s="577"/>
      <c r="L158" s="577"/>
      <c r="M158" s="577"/>
      <c r="N158" s="577"/>
      <c r="O158" s="577"/>
      <c r="P158" s="577"/>
      <c r="Q158" s="577"/>
      <c r="R158" s="577"/>
      <c r="S158" s="577"/>
      <c r="T158" s="577"/>
      <c r="U158" s="577"/>
      <c r="V158" s="577"/>
      <c r="W158" s="577"/>
      <c r="X158" s="577"/>
      <c r="Y158" s="577"/>
      <c r="Z158" s="577"/>
      <c r="AA158" s="577"/>
      <c r="AB158" s="577"/>
      <c r="AC158" s="577"/>
      <c r="AD158" s="577"/>
      <c r="AE158" s="577"/>
      <c r="AF158" s="577"/>
      <c r="AG158" s="577"/>
      <c r="AH158" s="577"/>
      <c r="AI158" s="577"/>
      <c r="AJ158" s="577"/>
      <c r="AK158" s="577"/>
      <c r="AL158" s="577"/>
      <c r="AM158" s="577"/>
      <c r="AN158" s="577"/>
      <c r="AO158" s="577"/>
      <c r="AP158" s="577"/>
      <c r="AQ158" s="577"/>
      <c r="AR158" s="577"/>
      <c r="AS158" s="577"/>
      <c r="AT158" s="577"/>
      <c r="AU158" s="577"/>
      <c r="AV158" s="577"/>
      <c r="AW158" s="577"/>
      <c r="AX158" s="577"/>
      <c r="AY158" s="577"/>
      <c r="AZ158" s="577"/>
    </row>
    <row r="159" spans="1:52" ht="15.75" customHeight="1" x14ac:dyDescent="0.2">
      <c r="A159" s="577"/>
      <c r="B159" s="577"/>
      <c r="C159" s="577"/>
      <c r="D159" s="577"/>
      <c r="E159" s="577"/>
      <c r="F159" s="577"/>
      <c r="G159" s="577"/>
      <c r="H159" s="577"/>
      <c r="I159" s="577"/>
      <c r="J159" s="577"/>
      <c r="K159" s="577"/>
      <c r="L159" s="577"/>
      <c r="M159" s="577"/>
      <c r="N159" s="577"/>
      <c r="O159" s="577"/>
      <c r="P159" s="577"/>
      <c r="Q159" s="577"/>
      <c r="R159" s="577"/>
      <c r="S159" s="577"/>
      <c r="T159" s="577"/>
      <c r="U159" s="577"/>
      <c r="V159" s="577"/>
      <c r="W159" s="577"/>
      <c r="X159" s="577"/>
      <c r="Y159" s="577"/>
      <c r="Z159" s="577"/>
      <c r="AA159" s="577"/>
      <c r="AB159" s="577"/>
      <c r="AC159" s="577"/>
      <c r="AD159" s="577"/>
      <c r="AE159" s="577"/>
      <c r="AF159" s="577"/>
      <c r="AG159" s="577"/>
      <c r="AH159" s="577"/>
      <c r="AI159" s="577"/>
      <c r="AJ159" s="577"/>
      <c r="AK159" s="577"/>
      <c r="AL159" s="577"/>
      <c r="AM159" s="577"/>
      <c r="AN159" s="577"/>
      <c r="AO159" s="577"/>
      <c r="AP159" s="577"/>
      <c r="AQ159" s="577"/>
      <c r="AR159" s="577"/>
      <c r="AS159" s="577"/>
      <c r="AT159" s="577"/>
      <c r="AU159" s="577"/>
      <c r="AV159" s="577"/>
      <c r="AW159" s="577"/>
      <c r="AX159" s="577"/>
      <c r="AY159" s="577"/>
      <c r="AZ159" s="577"/>
    </row>
    <row r="160" spans="1:52" ht="15.75" customHeight="1" x14ac:dyDescent="0.2">
      <c r="A160" s="577"/>
      <c r="B160" s="577"/>
      <c r="C160" s="577"/>
      <c r="D160" s="577"/>
      <c r="E160" s="577"/>
      <c r="F160" s="577"/>
      <c r="G160" s="577"/>
      <c r="H160" s="577"/>
      <c r="I160" s="577"/>
      <c r="J160" s="577"/>
      <c r="K160" s="577"/>
      <c r="L160" s="577"/>
      <c r="M160" s="577"/>
      <c r="N160" s="577"/>
      <c r="O160" s="577"/>
      <c r="P160" s="577"/>
      <c r="Q160" s="577"/>
      <c r="R160" s="577"/>
      <c r="S160" s="577"/>
      <c r="T160" s="577"/>
      <c r="U160" s="577"/>
      <c r="V160" s="577"/>
      <c r="W160" s="577"/>
      <c r="X160" s="577"/>
      <c r="Y160" s="577"/>
      <c r="Z160" s="577"/>
      <c r="AA160" s="577"/>
      <c r="AB160" s="577"/>
      <c r="AC160" s="577"/>
      <c r="AD160" s="577"/>
      <c r="AE160" s="577"/>
      <c r="AF160" s="577"/>
      <c r="AG160" s="577"/>
      <c r="AH160" s="577"/>
      <c r="AI160" s="577"/>
      <c r="AJ160" s="577"/>
      <c r="AK160" s="577"/>
      <c r="AL160" s="577"/>
      <c r="AM160" s="577"/>
      <c r="AN160" s="577"/>
      <c r="AO160" s="577"/>
      <c r="AP160" s="577"/>
      <c r="AQ160" s="577"/>
      <c r="AR160" s="577"/>
      <c r="AS160" s="577"/>
      <c r="AT160" s="577"/>
      <c r="AU160" s="577"/>
      <c r="AV160" s="577"/>
      <c r="AW160" s="577"/>
      <c r="AX160" s="577"/>
      <c r="AY160" s="577"/>
      <c r="AZ160" s="577"/>
    </row>
    <row r="161" spans="1:52" ht="15.75" customHeight="1" x14ac:dyDescent="0.2">
      <c r="A161" s="577"/>
      <c r="B161" s="577"/>
      <c r="C161" s="577"/>
      <c r="D161" s="577"/>
      <c r="E161" s="577"/>
      <c r="F161" s="577"/>
      <c r="G161" s="577"/>
      <c r="H161" s="577"/>
      <c r="I161" s="577"/>
      <c r="J161" s="577"/>
      <c r="K161" s="577"/>
      <c r="L161" s="577"/>
      <c r="M161" s="577"/>
      <c r="N161" s="577"/>
      <c r="O161" s="577"/>
      <c r="P161" s="577"/>
      <c r="Q161" s="577"/>
      <c r="R161" s="577"/>
      <c r="S161" s="577"/>
      <c r="T161" s="577"/>
      <c r="U161" s="577"/>
      <c r="V161" s="577"/>
      <c r="W161" s="577"/>
      <c r="X161" s="577"/>
      <c r="Y161" s="577"/>
      <c r="Z161" s="577"/>
      <c r="AA161" s="577"/>
      <c r="AB161" s="577"/>
      <c r="AC161" s="577"/>
      <c r="AD161" s="577"/>
      <c r="AE161" s="577"/>
      <c r="AF161" s="577"/>
      <c r="AG161" s="577"/>
      <c r="AH161" s="577"/>
      <c r="AI161" s="577"/>
      <c r="AJ161" s="577"/>
      <c r="AK161" s="577"/>
      <c r="AL161" s="577"/>
      <c r="AM161" s="577"/>
      <c r="AN161" s="577"/>
      <c r="AO161" s="577"/>
      <c r="AP161" s="577"/>
      <c r="AQ161" s="577"/>
      <c r="AR161" s="577"/>
      <c r="AS161" s="577"/>
      <c r="AT161" s="577"/>
      <c r="AU161" s="577"/>
      <c r="AV161" s="577"/>
      <c r="AW161" s="577"/>
      <c r="AX161" s="577"/>
      <c r="AY161" s="577"/>
      <c r="AZ161" s="577"/>
    </row>
    <row r="162" spans="1:52" ht="15.75" customHeight="1" x14ac:dyDescent="0.2">
      <c r="A162" s="577"/>
      <c r="B162" s="577"/>
      <c r="C162" s="577"/>
      <c r="D162" s="577"/>
      <c r="E162" s="577"/>
      <c r="F162" s="577"/>
      <c r="G162" s="577"/>
      <c r="H162" s="577"/>
      <c r="I162" s="577"/>
      <c r="J162" s="577"/>
      <c r="K162" s="577"/>
      <c r="L162" s="577"/>
      <c r="M162" s="577"/>
      <c r="N162" s="577"/>
      <c r="O162" s="577"/>
      <c r="P162" s="577"/>
      <c r="Q162" s="577"/>
      <c r="R162" s="577"/>
      <c r="S162" s="577"/>
      <c r="T162" s="577"/>
      <c r="U162" s="577"/>
      <c r="V162" s="577"/>
      <c r="W162" s="577"/>
      <c r="X162" s="577"/>
      <c r="Y162" s="577"/>
      <c r="Z162" s="577"/>
      <c r="AA162" s="577"/>
      <c r="AB162" s="577"/>
      <c r="AC162" s="577"/>
      <c r="AD162" s="577"/>
      <c r="AE162" s="577"/>
      <c r="AF162" s="577"/>
      <c r="AG162" s="577"/>
      <c r="AH162" s="577"/>
      <c r="AI162" s="577"/>
      <c r="AJ162" s="577"/>
      <c r="AK162" s="577"/>
      <c r="AL162" s="577"/>
      <c r="AM162" s="577"/>
      <c r="AN162" s="577"/>
      <c r="AO162" s="577"/>
      <c r="AP162" s="577"/>
      <c r="AQ162" s="577"/>
      <c r="AR162" s="577"/>
      <c r="AS162" s="577"/>
      <c r="AT162" s="577"/>
      <c r="AU162" s="577"/>
      <c r="AV162" s="577"/>
      <c r="AW162" s="577"/>
      <c r="AX162" s="577"/>
      <c r="AY162" s="577"/>
      <c r="AZ162" s="577"/>
    </row>
    <row r="163" spans="1:52" ht="15.75" customHeight="1" x14ac:dyDescent="0.2">
      <c r="A163" s="577"/>
      <c r="B163" s="577"/>
      <c r="C163" s="577"/>
      <c r="D163" s="577"/>
      <c r="E163" s="577"/>
      <c r="F163" s="577"/>
      <c r="G163" s="577"/>
      <c r="H163" s="577"/>
      <c r="I163" s="577"/>
      <c r="J163" s="577"/>
      <c r="K163" s="577"/>
      <c r="L163" s="577"/>
      <c r="M163" s="577"/>
      <c r="N163" s="577"/>
      <c r="O163" s="577"/>
      <c r="P163" s="577"/>
      <c r="Q163" s="577"/>
      <c r="R163" s="577"/>
      <c r="S163" s="577"/>
      <c r="T163" s="577"/>
      <c r="U163" s="577"/>
      <c r="V163" s="577"/>
      <c r="W163" s="577"/>
      <c r="X163" s="577"/>
      <c r="Y163" s="577"/>
      <c r="Z163" s="577"/>
      <c r="AA163" s="577"/>
      <c r="AB163" s="577"/>
      <c r="AC163" s="577"/>
      <c r="AD163" s="577"/>
      <c r="AE163" s="577"/>
      <c r="AF163" s="577"/>
      <c r="AG163" s="577"/>
      <c r="AH163" s="577"/>
      <c r="AI163" s="577"/>
      <c r="AJ163" s="577"/>
      <c r="AK163" s="577"/>
      <c r="AL163" s="577"/>
      <c r="AM163" s="577"/>
      <c r="AN163" s="577"/>
      <c r="AO163" s="577"/>
      <c r="AP163" s="577"/>
      <c r="AQ163" s="577"/>
      <c r="AR163" s="577"/>
      <c r="AS163" s="577"/>
      <c r="AT163" s="577"/>
      <c r="AU163" s="577"/>
      <c r="AV163" s="577"/>
      <c r="AW163" s="577"/>
      <c r="AX163" s="577"/>
      <c r="AY163" s="577"/>
      <c r="AZ163" s="577"/>
    </row>
    <row r="164" spans="1:52" ht="15.75" customHeight="1" x14ac:dyDescent="0.2">
      <c r="A164" s="577"/>
      <c r="B164" s="577"/>
      <c r="C164" s="577"/>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577"/>
      <c r="AV164" s="577"/>
      <c r="AW164" s="577"/>
      <c r="AX164" s="577"/>
      <c r="AY164" s="577"/>
      <c r="AZ164" s="577"/>
    </row>
    <row r="165" spans="1:52" ht="15.75" customHeight="1" x14ac:dyDescent="0.2">
      <c r="A165" s="577"/>
      <c r="B165" s="577"/>
      <c r="C165" s="577"/>
      <c r="D165" s="577"/>
      <c r="E165" s="577"/>
      <c r="F165" s="577"/>
      <c r="G165" s="577"/>
      <c r="H165" s="577"/>
      <c r="I165" s="577"/>
      <c r="J165" s="577"/>
      <c r="K165" s="577"/>
      <c r="L165" s="577"/>
      <c r="M165" s="577"/>
      <c r="N165" s="577"/>
      <c r="O165" s="577"/>
      <c r="P165" s="577"/>
      <c r="Q165" s="577"/>
      <c r="R165" s="577"/>
      <c r="S165" s="577"/>
      <c r="T165" s="577"/>
      <c r="U165" s="577"/>
      <c r="V165" s="577"/>
      <c r="W165" s="577"/>
      <c r="X165" s="57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577"/>
      <c r="AV165" s="577"/>
      <c r="AW165" s="577"/>
      <c r="AX165" s="577"/>
      <c r="AY165" s="577"/>
      <c r="AZ165" s="577"/>
    </row>
    <row r="166" spans="1:52" ht="15.75" customHeight="1" x14ac:dyDescent="0.2">
      <c r="A166" s="577"/>
      <c r="B166" s="577"/>
      <c r="C166" s="577"/>
      <c r="D166" s="577"/>
      <c r="E166" s="577"/>
      <c r="F166" s="577"/>
      <c r="G166" s="577"/>
      <c r="H166" s="577"/>
      <c r="I166" s="577"/>
      <c r="J166" s="577"/>
      <c r="K166" s="577"/>
      <c r="L166" s="577"/>
      <c r="M166" s="577"/>
      <c r="N166" s="577"/>
      <c r="O166" s="577"/>
      <c r="P166" s="577"/>
      <c r="Q166" s="577"/>
      <c r="R166" s="577"/>
      <c r="S166" s="577"/>
      <c r="T166" s="577"/>
      <c r="U166" s="577"/>
      <c r="V166" s="577"/>
      <c r="W166" s="577"/>
      <c r="X166" s="577"/>
      <c r="Y166" s="577"/>
      <c r="Z166" s="577"/>
      <c r="AA166" s="577"/>
      <c r="AB166" s="577"/>
      <c r="AC166" s="577"/>
      <c r="AD166" s="577"/>
      <c r="AE166" s="577"/>
      <c r="AF166" s="577"/>
      <c r="AG166" s="577"/>
      <c r="AH166" s="577"/>
      <c r="AI166" s="577"/>
      <c r="AJ166" s="577"/>
      <c r="AK166" s="577"/>
      <c r="AL166" s="577"/>
      <c r="AM166" s="577"/>
      <c r="AN166" s="577"/>
      <c r="AO166" s="577"/>
      <c r="AP166" s="577"/>
      <c r="AQ166" s="577"/>
      <c r="AR166" s="577"/>
      <c r="AS166" s="577"/>
      <c r="AT166" s="577"/>
      <c r="AU166" s="577"/>
      <c r="AV166" s="577"/>
      <c r="AW166" s="577"/>
      <c r="AX166" s="577"/>
      <c r="AY166" s="577"/>
      <c r="AZ166" s="577"/>
    </row>
    <row r="167" spans="1:52" ht="15.75" customHeight="1" x14ac:dyDescent="0.2">
      <c r="A167" s="577"/>
      <c r="B167" s="577"/>
      <c r="C167" s="577"/>
      <c r="D167" s="577"/>
      <c r="E167" s="577"/>
      <c r="F167" s="577"/>
      <c r="G167" s="577"/>
      <c r="H167" s="577"/>
      <c r="I167" s="577"/>
      <c r="J167" s="577"/>
      <c r="K167" s="577"/>
      <c r="L167" s="577"/>
      <c r="M167" s="577"/>
      <c r="N167" s="577"/>
      <c r="O167" s="577"/>
      <c r="P167" s="577"/>
      <c r="Q167" s="577"/>
      <c r="R167" s="577"/>
      <c r="S167" s="577"/>
      <c r="T167" s="577"/>
      <c r="U167" s="577"/>
      <c r="V167" s="577"/>
      <c r="W167" s="577"/>
      <c r="X167" s="577"/>
      <c r="Y167" s="577"/>
      <c r="Z167" s="577"/>
      <c r="AA167" s="577"/>
      <c r="AB167" s="577"/>
      <c r="AC167" s="577"/>
      <c r="AD167" s="577"/>
      <c r="AE167" s="577"/>
      <c r="AF167" s="577"/>
      <c r="AG167" s="577"/>
      <c r="AH167" s="577"/>
      <c r="AI167" s="577"/>
      <c r="AJ167" s="577"/>
      <c r="AK167" s="577"/>
      <c r="AL167" s="577"/>
      <c r="AM167" s="577"/>
      <c r="AN167" s="577"/>
      <c r="AO167" s="577"/>
      <c r="AP167" s="577"/>
      <c r="AQ167" s="577"/>
      <c r="AR167" s="577"/>
      <c r="AS167" s="577"/>
      <c r="AT167" s="577"/>
      <c r="AU167" s="577"/>
      <c r="AV167" s="577"/>
      <c r="AW167" s="577"/>
      <c r="AX167" s="577"/>
      <c r="AY167" s="577"/>
      <c r="AZ167" s="577"/>
    </row>
    <row r="168" spans="1:52" ht="15.75" customHeight="1" x14ac:dyDescent="0.2">
      <c r="A168" s="577"/>
      <c r="B168" s="577"/>
      <c r="C168" s="577"/>
      <c r="D168" s="577"/>
      <c r="E168" s="577"/>
      <c r="F168" s="577"/>
      <c r="G168" s="577"/>
      <c r="H168" s="577"/>
      <c r="I168" s="577"/>
      <c r="J168" s="577"/>
      <c r="K168" s="577"/>
      <c r="L168" s="577"/>
      <c r="M168" s="577"/>
      <c r="N168" s="577"/>
      <c r="O168" s="577"/>
      <c r="P168" s="577"/>
      <c r="Q168" s="577"/>
      <c r="R168" s="577"/>
      <c r="S168" s="577"/>
      <c r="T168" s="577"/>
      <c r="U168" s="577"/>
      <c r="V168" s="577"/>
      <c r="W168" s="577"/>
      <c r="X168" s="577"/>
      <c r="Y168" s="577"/>
      <c r="Z168" s="577"/>
      <c r="AA168" s="577"/>
      <c r="AB168" s="577"/>
      <c r="AC168" s="577"/>
      <c r="AD168" s="577"/>
      <c r="AE168" s="577"/>
      <c r="AF168" s="577"/>
      <c r="AG168" s="577"/>
      <c r="AH168" s="577"/>
      <c r="AI168" s="577"/>
      <c r="AJ168" s="577"/>
      <c r="AK168" s="577"/>
      <c r="AL168" s="577"/>
      <c r="AM168" s="577"/>
      <c r="AN168" s="577"/>
      <c r="AO168" s="577"/>
      <c r="AP168" s="577"/>
      <c r="AQ168" s="577"/>
      <c r="AR168" s="577"/>
      <c r="AS168" s="577"/>
      <c r="AT168" s="577"/>
      <c r="AU168" s="577"/>
      <c r="AV168" s="577"/>
      <c r="AW168" s="577"/>
      <c r="AX168" s="577"/>
      <c r="AY168" s="577"/>
      <c r="AZ168" s="577"/>
    </row>
    <row r="169" spans="1:52" ht="15.75" customHeight="1" x14ac:dyDescent="0.2">
      <c r="A169" s="577"/>
      <c r="B169" s="577"/>
      <c r="C169" s="577"/>
      <c r="D169" s="577"/>
      <c r="E169" s="577"/>
      <c r="F169" s="577"/>
      <c r="G169" s="577"/>
      <c r="H169" s="577"/>
      <c r="I169" s="577"/>
      <c r="J169" s="577"/>
      <c r="K169" s="577"/>
      <c r="L169" s="577"/>
      <c r="M169" s="577"/>
      <c r="N169" s="577"/>
      <c r="O169" s="577"/>
      <c r="P169" s="577"/>
      <c r="Q169" s="577"/>
      <c r="R169" s="577"/>
      <c r="S169" s="577"/>
      <c r="T169" s="577"/>
      <c r="U169" s="577"/>
      <c r="V169" s="577"/>
      <c r="W169" s="577"/>
      <c r="X169" s="577"/>
      <c r="Y169" s="577"/>
      <c r="Z169" s="577"/>
      <c r="AA169" s="577"/>
      <c r="AB169" s="577"/>
      <c r="AC169" s="577"/>
      <c r="AD169" s="577"/>
      <c r="AE169" s="577"/>
      <c r="AF169" s="577"/>
      <c r="AG169" s="577"/>
      <c r="AH169" s="577"/>
      <c r="AI169" s="577"/>
      <c r="AJ169" s="577"/>
      <c r="AK169" s="577"/>
      <c r="AL169" s="577"/>
      <c r="AM169" s="577"/>
      <c r="AN169" s="577"/>
      <c r="AO169" s="577"/>
      <c r="AP169" s="577"/>
      <c r="AQ169" s="577"/>
      <c r="AR169" s="577"/>
      <c r="AS169" s="577"/>
      <c r="AT169" s="577"/>
      <c r="AU169" s="577"/>
      <c r="AV169" s="577"/>
      <c r="AW169" s="577"/>
      <c r="AX169" s="577"/>
      <c r="AY169" s="577"/>
      <c r="AZ169" s="577"/>
    </row>
    <row r="170" spans="1:52" ht="15.75" customHeight="1" x14ac:dyDescent="0.2">
      <c r="A170" s="577"/>
      <c r="B170" s="577"/>
      <c r="C170" s="577"/>
      <c r="D170" s="577"/>
      <c r="E170" s="577"/>
      <c r="F170" s="577"/>
      <c r="G170" s="577"/>
      <c r="H170" s="577"/>
      <c r="I170" s="577"/>
      <c r="J170" s="577"/>
      <c r="K170" s="577"/>
      <c r="L170" s="577"/>
      <c r="M170" s="577"/>
      <c r="N170" s="577"/>
      <c r="O170" s="577"/>
      <c r="P170" s="577"/>
      <c r="Q170" s="577"/>
      <c r="R170" s="577"/>
      <c r="S170" s="577"/>
      <c r="T170" s="577"/>
      <c r="U170" s="577"/>
      <c r="V170" s="577"/>
      <c r="W170" s="577"/>
      <c r="X170" s="577"/>
      <c r="Y170" s="577"/>
      <c r="Z170" s="577"/>
      <c r="AA170" s="577"/>
      <c r="AB170" s="577"/>
      <c r="AC170" s="577"/>
      <c r="AD170" s="577"/>
      <c r="AE170" s="577"/>
      <c r="AF170" s="577"/>
      <c r="AG170" s="577"/>
      <c r="AH170" s="577"/>
      <c r="AI170" s="577"/>
      <c r="AJ170" s="577"/>
      <c r="AK170" s="577"/>
      <c r="AL170" s="577"/>
      <c r="AM170" s="577"/>
      <c r="AN170" s="577"/>
      <c r="AO170" s="577"/>
      <c r="AP170" s="577"/>
      <c r="AQ170" s="577"/>
      <c r="AR170" s="577"/>
      <c r="AS170" s="577"/>
      <c r="AT170" s="577"/>
      <c r="AU170" s="577"/>
      <c r="AV170" s="577"/>
      <c r="AW170" s="577"/>
      <c r="AX170" s="577"/>
      <c r="AY170" s="577"/>
      <c r="AZ170" s="577"/>
    </row>
    <row r="171" spans="1:52" ht="15.75" customHeight="1" x14ac:dyDescent="0.2">
      <c r="A171" s="577"/>
      <c r="B171" s="577"/>
      <c r="C171" s="577"/>
      <c r="D171" s="577"/>
      <c r="E171" s="577"/>
      <c r="F171" s="577"/>
      <c r="G171" s="577"/>
      <c r="H171" s="577"/>
      <c r="I171" s="577"/>
      <c r="J171" s="577"/>
      <c r="K171" s="577"/>
      <c r="L171" s="577"/>
      <c r="M171" s="577"/>
      <c r="N171" s="577"/>
      <c r="O171" s="577"/>
      <c r="P171" s="577"/>
      <c r="Q171" s="577"/>
      <c r="R171" s="577"/>
      <c r="S171" s="577"/>
      <c r="T171" s="577"/>
      <c r="U171" s="577"/>
      <c r="V171" s="577"/>
      <c r="W171" s="577"/>
      <c r="X171" s="577"/>
      <c r="Y171" s="577"/>
      <c r="Z171" s="577"/>
      <c r="AA171" s="577"/>
      <c r="AB171" s="577"/>
      <c r="AC171" s="577"/>
      <c r="AD171" s="577"/>
      <c r="AE171" s="577"/>
      <c r="AF171" s="577"/>
      <c r="AG171" s="577"/>
      <c r="AH171" s="577"/>
      <c r="AI171" s="577"/>
      <c r="AJ171" s="577"/>
      <c r="AK171" s="577"/>
      <c r="AL171" s="577"/>
      <c r="AM171" s="577"/>
      <c r="AN171" s="577"/>
      <c r="AO171" s="577"/>
      <c r="AP171" s="577"/>
      <c r="AQ171" s="577"/>
      <c r="AR171" s="577"/>
      <c r="AS171" s="577"/>
      <c r="AT171" s="577"/>
      <c r="AU171" s="577"/>
      <c r="AV171" s="577"/>
      <c r="AW171" s="577"/>
      <c r="AX171" s="577"/>
      <c r="AY171" s="577"/>
      <c r="AZ171" s="577"/>
    </row>
    <row r="172" spans="1:52" ht="15.75" customHeight="1" x14ac:dyDescent="0.2">
      <c r="A172" s="577"/>
      <c r="B172" s="577"/>
      <c r="C172" s="577"/>
      <c r="D172" s="577"/>
      <c r="E172" s="577"/>
      <c r="F172" s="577"/>
      <c r="G172" s="577"/>
      <c r="H172" s="577"/>
      <c r="I172" s="577"/>
      <c r="J172" s="577"/>
      <c r="K172" s="577"/>
      <c r="L172" s="577"/>
      <c r="M172" s="577"/>
      <c r="N172" s="577"/>
      <c r="O172" s="577"/>
      <c r="P172" s="577"/>
      <c r="Q172" s="577"/>
      <c r="R172" s="577"/>
      <c r="S172" s="577"/>
      <c r="T172" s="577"/>
      <c r="U172" s="577"/>
      <c r="V172" s="577"/>
      <c r="W172" s="577"/>
      <c r="X172" s="577"/>
      <c r="Y172" s="577"/>
      <c r="Z172" s="577"/>
      <c r="AA172" s="577"/>
      <c r="AB172" s="577"/>
      <c r="AC172" s="577"/>
      <c r="AD172" s="577"/>
      <c r="AE172" s="577"/>
      <c r="AF172" s="577"/>
      <c r="AG172" s="577"/>
      <c r="AH172" s="577"/>
      <c r="AI172" s="577"/>
      <c r="AJ172" s="577"/>
      <c r="AK172" s="577"/>
      <c r="AL172" s="577"/>
      <c r="AM172" s="577"/>
      <c r="AN172" s="577"/>
      <c r="AO172" s="577"/>
      <c r="AP172" s="577"/>
      <c r="AQ172" s="577"/>
      <c r="AR172" s="577"/>
      <c r="AS172" s="577"/>
      <c r="AT172" s="577"/>
      <c r="AU172" s="577"/>
      <c r="AV172" s="577"/>
      <c r="AW172" s="577"/>
      <c r="AX172" s="577"/>
      <c r="AY172" s="577"/>
      <c r="AZ172" s="577"/>
    </row>
    <row r="173" spans="1:52" ht="15.75" customHeight="1" x14ac:dyDescent="0.2">
      <c r="A173" s="577"/>
      <c r="B173" s="577"/>
      <c r="C173" s="577"/>
      <c r="D173" s="577"/>
      <c r="E173" s="577"/>
      <c r="F173" s="577"/>
      <c r="G173" s="577"/>
      <c r="H173" s="577"/>
      <c r="I173" s="577"/>
      <c r="J173" s="577"/>
      <c r="K173" s="577"/>
      <c r="L173" s="577"/>
      <c r="M173" s="577"/>
      <c r="N173" s="577"/>
      <c r="O173" s="577"/>
      <c r="P173" s="577"/>
      <c r="Q173" s="577"/>
      <c r="R173" s="577"/>
      <c r="S173" s="577"/>
      <c r="T173" s="577"/>
      <c r="U173" s="577"/>
      <c r="V173" s="577"/>
      <c r="W173" s="577"/>
      <c r="X173" s="577"/>
      <c r="Y173" s="577"/>
      <c r="Z173" s="577"/>
      <c r="AA173" s="577"/>
      <c r="AB173" s="577"/>
      <c r="AC173" s="577"/>
      <c r="AD173" s="577"/>
      <c r="AE173" s="577"/>
      <c r="AF173" s="577"/>
      <c r="AG173" s="577"/>
      <c r="AH173" s="577"/>
      <c r="AI173" s="577"/>
      <c r="AJ173" s="577"/>
      <c r="AK173" s="577"/>
      <c r="AL173" s="577"/>
      <c r="AM173" s="577"/>
      <c r="AN173" s="577"/>
      <c r="AO173" s="577"/>
      <c r="AP173" s="577"/>
      <c r="AQ173" s="577"/>
      <c r="AR173" s="577"/>
      <c r="AS173" s="577"/>
      <c r="AT173" s="577"/>
      <c r="AU173" s="577"/>
      <c r="AV173" s="577"/>
      <c r="AW173" s="577"/>
      <c r="AX173" s="577"/>
      <c r="AY173" s="577"/>
      <c r="AZ173" s="577"/>
    </row>
    <row r="174" spans="1:52" ht="15.75" customHeight="1" x14ac:dyDescent="0.2">
      <c r="A174" s="577"/>
      <c r="B174" s="577"/>
      <c r="C174" s="577"/>
      <c r="D174" s="577"/>
      <c r="E174" s="577"/>
      <c r="F174" s="577"/>
      <c r="G174" s="577"/>
      <c r="H174" s="577"/>
      <c r="I174" s="577"/>
      <c r="J174" s="577"/>
      <c r="K174" s="577"/>
      <c r="L174" s="577"/>
      <c r="M174" s="577"/>
      <c r="N174" s="577"/>
      <c r="O174" s="577"/>
      <c r="P174" s="577"/>
      <c r="Q174" s="577"/>
      <c r="R174" s="577"/>
      <c r="S174" s="577"/>
      <c r="T174" s="577"/>
      <c r="U174" s="577"/>
      <c r="V174" s="577"/>
      <c r="W174" s="577"/>
      <c r="X174" s="577"/>
      <c r="Y174" s="577"/>
      <c r="Z174" s="577"/>
      <c r="AA174" s="577"/>
      <c r="AB174" s="577"/>
      <c r="AC174" s="577"/>
      <c r="AD174" s="577"/>
      <c r="AE174" s="577"/>
      <c r="AF174" s="577"/>
      <c r="AG174" s="577"/>
      <c r="AH174" s="577"/>
      <c r="AI174" s="577"/>
      <c r="AJ174" s="577"/>
      <c r="AK174" s="577"/>
      <c r="AL174" s="577"/>
      <c r="AM174" s="577"/>
      <c r="AN174" s="577"/>
      <c r="AO174" s="577"/>
      <c r="AP174" s="577"/>
      <c r="AQ174" s="577"/>
      <c r="AR174" s="577"/>
      <c r="AS174" s="577"/>
      <c r="AT174" s="577"/>
      <c r="AU174" s="577"/>
      <c r="AV174" s="577"/>
      <c r="AW174" s="577"/>
      <c r="AX174" s="577"/>
      <c r="AY174" s="577"/>
      <c r="AZ174" s="577"/>
    </row>
    <row r="175" spans="1:52" ht="15.75" customHeight="1" x14ac:dyDescent="0.2">
      <c r="A175" s="577"/>
      <c r="B175" s="577"/>
      <c r="C175" s="577"/>
      <c r="D175" s="577"/>
      <c r="E175" s="577"/>
      <c r="F175" s="577"/>
      <c r="G175" s="577"/>
      <c r="H175" s="577"/>
      <c r="I175" s="577"/>
      <c r="J175" s="577"/>
      <c r="K175" s="577"/>
      <c r="L175" s="577"/>
      <c r="M175" s="577"/>
      <c r="N175" s="577"/>
      <c r="O175" s="577"/>
      <c r="P175" s="577"/>
      <c r="Q175" s="577"/>
      <c r="R175" s="577"/>
      <c r="S175" s="577"/>
      <c r="T175" s="577"/>
      <c r="U175" s="577"/>
      <c r="V175" s="577"/>
      <c r="W175" s="577"/>
      <c r="X175" s="577"/>
      <c r="Y175" s="577"/>
      <c r="Z175" s="577"/>
      <c r="AA175" s="577"/>
      <c r="AB175" s="577"/>
      <c r="AC175" s="577"/>
      <c r="AD175" s="577"/>
      <c r="AE175" s="577"/>
      <c r="AF175" s="577"/>
      <c r="AG175" s="577"/>
      <c r="AH175" s="577"/>
      <c r="AI175" s="577"/>
      <c r="AJ175" s="577"/>
      <c r="AK175" s="577"/>
      <c r="AL175" s="577"/>
      <c r="AM175" s="577"/>
      <c r="AN175" s="577"/>
      <c r="AO175" s="577"/>
      <c r="AP175" s="577"/>
      <c r="AQ175" s="577"/>
      <c r="AR175" s="577"/>
      <c r="AS175" s="577"/>
      <c r="AT175" s="577"/>
      <c r="AU175" s="577"/>
      <c r="AV175" s="577"/>
      <c r="AW175" s="577"/>
      <c r="AX175" s="577"/>
      <c r="AY175" s="577"/>
      <c r="AZ175" s="577"/>
    </row>
    <row r="176" spans="1:52" ht="15.75" customHeight="1" x14ac:dyDescent="0.2">
      <c r="A176" s="577"/>
      <c r="B176" s="577"/>
      <c r="C176" s="577"/>
      <c r="D176" s="577"/>
      <c r="E176" s="577"/>
      <c r="F176" s="577"/>
      <c r="G176" s="577"/>
      <c r="H176" s="577"/>
      <c r="I176" s="577"/>
      <c r="J176" s="577"/>
      <c r="K176" s="577"/>
      <c r="L176" s="577"/>
      <c r="M176" s="577"/>
      <c r="N176" s="577"/>
      <c r="O176" s="577"/>
      <c r="P176" s="577"/>
      <c r="Q176" s="577"/>
      <c r="R176" s="577"/>
      <c r="S176" s="577"/>
      <c r="T176" s="577"/>
      <c r="U176" s="577"/>
      <c r="V176" s="577"/>
      <c r="W176" s="577"/>
      <c r="X176" s="577"/>
      <c r="Y176" s="577"/>
      <c r="Z176" s="577"/>
      <c r="AA176" s="577"/>
      <c r="AB176" s="577"/>
      <c r="AC176" s="577"/>
      <c r="AD176" s="577"/>
      <c r="AE176" s="577"/>
      <c r="AF176" s="577"/>
      <c r="AG176" s="577"/>
      <c r="AH176" s="577"/>
      <c r="AI176" s="577"/>
      <c r="AJ176" s="577"/>
      <c r="AK176" s="577"/>
      <c r="AL176" s="577"/>
      <c r="AM176" s="577"/>
      <c r="AN176" s="577"/>
      <c r="AO176" s="577"/>
      <c r="AP176" s="577"/>
      <c r="AQ176" s="577"/>
      <c r="AR176" s="577"/>
      <c r="AS176" s="577"/>
      <c r="AT176" s="577"/>
      <c r="AU176" s="577"/>
      <c r="AV176" s="577"/>
      <c r="AW176" s="577"/>
      <c r="AX176" s="577"/>
      <c r="AY176" s="577"/>
      <c r="AZ176" s="577"/>
    </row>
    <row r="177" spans="1:52" ht="15.75" customHeight="1" x14ac:dyDescent="0.2">
      <c r="A177" s="577"/>
      <c r="B177" s="577"/>
      <c r="C177" s="577"/>
      <c r="D177" s="577"/>
      <c r="E177" s="577"/>
      <c r="F177" s="577"/>
      <c r="G177" s="577"/>
      <c r="H177" s="577"/>
      <c r="I177" s="577"/>
      <c r="J177" s="577"/>
      <c r="K177" s="577"/>
      <c r="L177" s="577"/>
      <c r="M177" s="577"/>
      <c r="N177" s="577"/>
      <c r="O177" s="577"/>
      <c r="P177" s="577"/>
      <c r="Q177" s="577"/>
      <c r="R177" s="577"/>
      <c r="S177" s="577"/>
      <c r="T177" s="577"/>
      <c r="U177" s="577"/>
      <c r="V177" s="577"/>
      <c r="W177" s="577"/>
      <c r="X177" s="577"/>
      <c r="Y177" s="577"/>
      <c r="Z177" s="577"/>
      <c r="AA177" s="577"/>
      <c r="AB177" s="577"/>
      <c r="AC177" s="577"/>
      <c r="AD177" s="577"/>
      <c r="AE177" s="577"/>
      <c r="AF177" s="577"/>
      <c r="AG177" s="577"/>
      <c r="AH177" s="577"/>
      <c r="AI177" s="577"/>
      <c r="AJ177" s="577"/>
      <c r="AK177" s="577"/>
      <c r="AL177" s="577"/>
      <c r="AM177" s="577"/>
      <c r="AN177" s="577"/>
      <c r="AO177" s="577"/>
      <c r="AP177" s="577"/>
      <c r="AQ177" s="577"/>
      <c r="AR177" s="577"/>
      <c r="AS177" s="577"/>
      <c r="AT177" s="577"/>
      <c r="AU177" s="577"/>
      <c r="AV177" s="577"/>
      <c r="AW177" s="577"/>
      <c r="AX177" s="577"/>
      <c r="AY177" s="577"/>
      <c r="AZ177" s="577"/>
    </row>
    <row r="178" spans="1:52" ht="15.75" customHeight="1" x14ac:dyDescent="0.2">
      <c r="A178" s="577"/>
      <c r="B178" s="577"/>
      <c r="C178" s="577"/>
      <c r="D178" s="577"/>
      <c r="E178" s="577"/>
      <c r="F178" s="577"/>
      <c r="G178" s="577"/>
      <c r="H178" s="577"/>
      <c r="I178" s="577"/>
      <c r="J178" s="577"/>
      <c r="K178" s="577"/>
      <c r="L178" s="577"/>
      <c r="M178" s="577"/>
      <c r="N178" s="577"/>
      <c r="O178" s="577"/>
      <c r="P178" s="577"/>
      <c r="Q178" s="577"/>
      <c r="R178" s="577"/>
      <c r="S178" s="577"/>
      <c r="T178" s="577"/>
      <c r="U178" s="577"/>
      <c r="V178" s="577"/>
      <c r="W178" s="577"/>
      <c r="X178" s="577"/>
      <c r="Y178" s="577"/>
      <c r="Z178" s="577"/>
      <c r="AA178" s="577"/>
      <c r="AB178" s="577"/>
      <c r="AC178" s="577"/>
      <c r="AD178" s="577"/>
      <c r="AE178" s="577"/>
      <c r="AF178" s="577"/>
      <c r="AG178" s="577"/>
      <c r="AH178" s="577"/>
      <c r="AI178" s="577"/>
      <c r="AJ178" s="577"/>
      <c r="AK178" s="577"/>
      <c r="AL178" s="577"/>
      <c r="AM178" s="577"/>
      <c r="AN178" s="577"/>
      <c r="AO178" s="577"/>
      <c r="AP178" s="577"/>
      <c r="AQ178" s="577"/>
      <c r="AR178" s="577"/>
      <c r="AS178" s="577"/>
      <c r="AT178" s="577"/>
      <c r="AU178" s="577"/>
      <c r="AV178" s="577"/>
      <c r="AW178" s="577"/>
      <c r="AX178" s="577"/>
      <c r="AY178" s="577"/>
      <c r="AZ178" s="577"/>
    </row>
    <row r="179" spans="1:52" ht="15.75" customHeight="1" x14ac:dyDescent="0.2">
      <c r="A179" s="577"/>
      <c r="B179" s="577"/>
      <c r="C179" s="577"/>
      <c r="D179" s="577"/>
      <c r="E179" s="577"/>
      <c r="F179" s="577"/>
      <c r="G179" s="577"/>
      <c r="H179" s="577"/>
      <c r="I179" s="577"/>
      <c r="J179" s="577"/>
      <c r="K179" s="577"/>
      <c r="L179" s="577"/>
      <c r="M179" s="577"/>
      <c r="N179" s="577"/>
      <c r="O179" s="577"/>
      <c r="P179" s="577"/>
      <c r="Q179" s="577"/>
      <c r="R179" s="577"/>
      <c r="S179" s="577"/>
      <c r="T179" s="577"/>
      <c r="U179" s="577"/>
      <c r="V179" s="577"/>
      <c r="W179" s="577"/>
      <c r="X179" s="577"/>
      <c r="Y179" s="577"/>
      <c r="Z179" s="577"/>
      <c r="AA179" s="577"/>
      <c r="AB179" s="577"/>
      <c r="AC179" s="577"/>
      <c r="AD179" s="577"/>
      <c r="AE179" s="577"/>
      <c r="AF179" s="577"/>
      <c r="AG179" s="577"/>
      <c r="AH179" s="577"/>
      <c r="AI179" s="577"/>
      <c r="AJ179" s="577"/>
      <c r="AK179" s="577"/>
      <c r="AL179" s="577"/>
      <c r="AM179" s="577"/>
      <c r="AN179" s="577"/>
      <c r="AO179" s="577"/>
      <c r="AP179" s="577"/>
      <c r="AQ179" s="577"/>
      <c r="AR179" s="577"/>
      <c r="AS179" s="577"/>
      <c r="AT179" s="577"/>
      <c r="AU179" s="577"/>
      <c r="AV179" s="577"/>
      <c r="AW179" s="577"/>
      <c r="AX179" s="577"/>
      <c r="AY179" s="577"/>
      <c r="AZ179" s="577"/>
    </row>
    <row r="180" spans="1:52" ht="15.75" customHeight="1" x14ac:dyDescent="0.2">
      <c r="A180" s="577"/>
      <c r="B180" s="577"/>
      <c r="C180" s="577"/>
      <c r="D180" s="577"/>
      <c r="E180" s="577"/>
      <c r="F180" s="577"/>
      <c r="G180" s="577"/>
      <c r="H180" s="577"/>
      <c r="I180" s="577"/>
      <c r="J180" s="577"/>
      <c r="K180" s="577"/>
      <c r="L180" s="577"/>
      <c r="M180" s="577"/>
      <c r="N180" s="577"/>
      <c r="O180" s="577"/>
      <c r="P180" s="577"/>
      <c r="Q180" s="577"/>
      <c r="R180" s="577"/>
      <c r="S180" s="577"/>
      <c r="T180" s="577"/>
      <c r="U180" s="577"/>
      <c r="V180" s="577"/>
      <c r="W180" s="577"/>
      <c r="X180" s="577"/>
      <c r="Y180" s="577"/>
      <c r="Z180" s="577"/>
      <c r="AA180" s="577"/>
      <c r="AB180" s="577"/>
      <c r="AC180" s="577"/>
      <c r="AD180" s="577"/>
      <c r="AE180" s="577"/>
      <c r="AF180" s="577"/>
      <c r="AG180" s="577"/>
      <c r="AH180" s="577"/>
      <c r="AI180" s="577"/>
      <c r="AJ180" s="577"/>
      <c r="AK180" s="577"/>
      <c r="AL180" s="577"/>
      <c r="AM180" s="577"/>
      <c r="AN180" s="577"/>
      <c r="AO180" s="577"/>
      <c r="AP180" s="577"/>
      <c r="AQ180" s="577"/>
      <c r="AR180" s="577"/>
      <c r="AS180" s="577"/>
      <c r="AT180" s="577"/>
      <c r="AU180" s="577"/>
      <c r="AV180" s="577"/>
      <c r="AW180" s="577"/>
      <c r="AX180" s="577"/>
      <c r="AY180" s="577"/>
      <c r="AZ180" s="577"/>
    </row>
    <row r="181" spans="1:52" ht="15.75" customHeight="1" x14ac:dyDescent="0.2">
      <c r="A181" s="577"/>
      <c r="B181" s="577"/>
      <c r="C181" s="577"/>
      <c r="D181" s="577"/>
      <c r="E181" s="577"/>
      <c r="F181" s="577"/>
      <c r="G181" s="577"/>
      <c r="H181" s="577"/>
      <c r="I181" s="577"/>
      <c r="J181" s="577"/>
      <c r="K181" s="577"/>
      <c r="L181" s="577"/>
      <c r="M181" s="577"/>
      <c r="N181" s="577"/>
      <c r="O181" s="577"/>
      <c r="P181" s="577"/>
      <c r="Q181" s="577"/>
      <c r="R181" s="577"/>
      <c r="S181" s="577"/>
      <c r="T181" s="577"/>
      <c r="U181" s="577"/>
      <c r="V181" s="577"/>
      <c r="W181" s="577"/>
      <c r="X181" s="577"/>
      <c r="Y181" s="577"/>
      <c r="Z181" s="577"/>
      <c r="AA181" s="577"/>
      <c r="AB181" s="577"/>
      <c r="AC181" s="577"/>
      <c r="AD181" s="577"/>
      <c r="AE181" s="577"/>
      <c r="AF181" s="577"/>
      <c r="AG181" s="577"/>
      <c r="AH181" s="577"/>
      <c r="AI181" s="577"/>
      <c r="AJ181" s="577"/>
      <c r="AK181" s="577"/>
      <c r="AL181" s="577"/>
      <c r="AM181" s="577"/>
      <c r="AN181" s="577"/>
      <c r="AO181" s="577"/>
      <c r="AP181" s="577"/>
      <c r="AQ181" s="577"/>
      <c r="AR181" s="577"/>
      <c r="AS181" s="577"/>
      <c r="AT181" s="577"/>
      <c r="AU181" s="577"/>
      <c r="AV181" s="577"/>
      <c r="AW181" s="577"/>
      <c r="AX181" s="577"/>
      <c r="AY181" s="577"/>
      <c r="AZ181" s="577"/>
    </row>
    <row r="182" spans="1:52" ht="15.75" customHeight="1" x14ac:dyDescent="0.2">
      <c r="A182" s="577"/>
      <c r="B182" s="577"/>
      <c r="C182" s="577"/>
      <c r="D182" s="577"/>
      <c r="E182" s="577"/>
      <c r="F182" s="577"/>
      <c r="G182" s="577"/>
      <c r="H182" s="577"/>
      <c r="I182" s="577"/>
      <c r="J182" s="577"/>
      <c r="K182" s="577"/>
      <c r="L182" s="577"/>
      <c r="M182" s="577"/>
      <c r="N182" s="577"/>
      <c r="O182" s="577"/>
      <c r="P182" s="577"/>
      <c r="Q182" s="577"/>
      <c r="R182" s="577"/>
      <c r="S182" s="577"/>
      <c r="T182" s="577"/>
      <c r="U182" s="577"/>
      <c r="V182" s="577"/>
      <c r="W182" s="577"/>
      <c r="X182" s="577"/>
      <c r="Y182" s="577"/>
      <c r="Z182" s="577"/>
      <c r="AA182" s="577"/>
      <c r="AB182" s="577"/>
      <c r="AC182" s="577"/>
      <c r="AD182" s="577"/>
      <c r="AE182" s="577"/>
      <c r="AF182" s="577"/>
      <c r="AG182" s="577"/>
      <c r="AH182" s="577"/>
      <c r="AI182" s="577"/>
      <c r="AJ182" s="577"/>
      <c r="AK182" s="577"/>
      <c r="AL182" s="577"/>
      <c r="AM182" s="577"/>
      <c r="AN182" s="577"/>
      <c r="AO182" s="577"/>
      <c r="AP182" s="577"/>
      <c r="AQ182" s="577"/>
      <c r="AR182" s="577"/>
      <c r="AS182" s="577"/>
      <c r="AT182" s="577"/>
      <c r="AU182" s="577"/>
      <c r="AV182" s="577"/>
      <c r="AW182" s="577"/>
      <c r="AX182" s="577"/>
      <c r="AY182" s="577"/>
      <c r="AZ182" s="577"/>
    </row>
    <row r="183" spans="1:52" ht="15.75" customHeight="1" x14ac:dyDescent="0.2">
      <c r="A183" s="577"/>
      <c r="B183" s="577"/>
      <c r="C183" s="577"/>
      <c r="D183" s="577"/>
      <c r="E183" s="577"/>
      <c r="F183" s="577"/>
      <c r="G183" s="577"/>
      <c r="H183" s="577"/>
      <c r="I183" s="577"/>
      <c r="J183" s="577"/>
      <c r="K183" s="577"/>
      <c r="L183" s="577"/>
      <c r="M183" s="577"/>
      <c r="N183" s="577"/>
      <c r="O183" s="577"/>
      <c r="P183" s="577"/>
      <c r="Q183" s="577"/>
      <c r="R183" s="577"/>
      <c r="S183" s="577"/>
      <c r="T183" s="577"/>
      <c r="U183" s="577"/>
      <c r="V183" s="577"/>
      <c r="W183" s="577"/>
      <c r="X183" s="577"/>
      <c r="Y183" s="577"/>
      <c r="Z183" s="577"/>
      <c r="AA183" s="577"/>
      <c r="AB183" s="577"/>
      <c r="AC183" s="577"/>
      <c r="AD183" s="577"/>
      <c r="AE183" s="577"/>
      <c r="AF183" s="577"/>
      <c r="AG183" s="577"/>
      <c r="AH183" s="577"/>
      <c r="AI183" s="577"/>
      <c r="AJ183" s="577"/>
      <c r="AK183" s="577"/>
      <c r="AL183" s="577"/>
      <c r="AM183" s="577"/>
      <c r="AN183" s="577"/>
      <c r="AO183" s="577"/>
      <c r="AP183" s="577"/>
      <c r="AQ183" s="577"/>
      <c r="AR183" s="577"/>
      <c r="AS183" s="577"/>
      <c r="AT183" s="577"/>
      <c r="AU183" s="577"/>
      <c r="AV183" s="577"/>
      <c r="AW183" s="577"/>
      <c r="AX183" s="577"/>
      <c r="AY183" s="577"/>
      <c r="AZ183" s="577"/>
    </row>
    <row r="184" spans="1:52" ht="15.75" customHeight="1" x14ac:dyDescent="0.2">
      <c r="A184" s="577"/>
      <c r="B184" s="577"/>
      <c r="C184" s="577"/>
      <c r="D184" s="577"/>
      <c r="E184" s="577"/>
      <c r="F184" s="577"/>
      <c r="G184" s="577"/>
      <c r="H184" s="577"/>
      <c r="I184" s="577"/>
      <c r="J184" s="577"/>
      <c r="K184" s="577"/>
      <c r="L184" s="577"/>
      <c r="M184" s="577"/>
      <c r="N184" s="577"/>
      <c r="O184" s="577"/>
      <c r="P184" s="577"/>
      <c r="Q184" s="577"/>
      <c r="R184" s="577"/>
      <c r="S184" s="577"/>
      <c r="T184" s="577"/>
      <c r="U184" s="577"/>
      <c r="V184" s="577"/>
      <c r="W184" s="577"/>
      <c r="X184" s="577"/>
      <c r="Y184" s="577"/>
      <c r="Z184" s="577"/>
      <c r="AA184" s="577"/>
      <c r="AB184" s="577"/>
      <c r="AC184" s="577"/>
      <c r="AD184" s="577"/>
      <c r="AE184" s="577"/>
      <c r="AF184" s="577"/>
      <c r="AG184" s="577"/>
      <c r="AH184" s="577"/>
      <c r="AI184" s="577"/>
      <c r="AJ184" s="577"/>
      <c r="AK184" s="577"/>
      <c r="AL184" s="577"/>
      <c r="AM184" s="577"/>
      <c r="AN184" s="577"/>
      <c r="AO184" s="577"/>
      <c r="AP184" s="577"/>
      <c r="AQ184" s="577"/>
      <c r="AR184" s="577"/>
      <c r="AS184" s="577"/>
      <c r="AT184" s="577"/>
      <c r="AU184" s="577"/>
      <c r="AV184" s="577"/>
      <c r="AW184" s="577"/>
      <c r="AX184" s="577"/>
      <c r="AY184" s="577"/>
      <c r="AZ184" s="577"/>
    </row>
    <row r="185" spans="1:52" ht="15.75" customHeight="1" x14ac:dyDescent="0.2">
      <c r="A185" s="577"/>
      <c r="B185" s="577"/>
      <c r="C185" s="577"/>
      <c r="D185" s="577"/>
      <c r="E185" s="577"/>
      <c r="F185" s="577"/>
      <c r="G185" s="577"/>
      <c r="H185" s="577"/>
      <c r="I185" s="577"/>
      <c r="J185" s="577"/>
      <c r="K185" s="577"/>
      <c r="L185" s="577"/>
      <c r="M185" s="577"/>
      <c r="N185" s="577"/>
      <c r="O185" s="577"/>
      <c r="P185" s="577"/>
      <c r="Q185" s="577"/>
      <c r="R185" s="577"/>
      <c r="S185" s="577"/>
      <c r="T185" s="577"/>
      <c r="U185" s="577"/>
      <c r="V185" s="577"/>
      <c r="W185" s="577"/>
      <c r="X185" s="577"/>
      <c r="Y185" s="577"/>
      <c r="Z185" s="577"/>
      <c r="AA185" s="577"/>
      <c r="AB185" s="577"/>
      <c r="AC185" s="577"/>
      <c r="AD185" s="577"/>
      <c r="AE185" s="577"/>
      <c r="AF185" s="577"/>
      <c r="AG185" s="577"/>
      <c r="AH185" s="577"/>
      <c r="AI185" s="577"/>
      <c r="AJ185" s="577"/>
      <c r="AK185" s="577"/>
      <c r="AL185" s="577"/>
      <c r="AM185" s="577"/>
      <c r="AN185" s="577"/>
      <c r="AO185" s="577"/>
      <c r="AP185" s="577"/>
      <c r="AQ185" s="577"/>
      <c r="AR185" s="577"/>
      <c r="AS185" s="577"/>
      <c r="AT185" s="577"/>
      <c r="AU185" s="577"/>
      <c r="AV185" s="577"/>
      <c r="AW185" s="577"/>
      <c r="AX185" s="577"/>
      <c r="AY185" s="577"/>
      <c r="AZ185" s="577"/>
    </row>
    <row r="186" spans="1:52" ht="15.75" customHeight="1" x14ac:dyDescent="0.2">
      <c r="A186" s="577"/>
      <c r="B186" s="577"/>
      <c r="C186" s="577"/>
      <c r="D186" s="577"/>
      <c r="E186" s="577"/>
      <c r="F186" s="577"/>
      <c r="G186" s="577"/>
      <c r="H186" s="577"/>
      <c r="I186" s="577"/>
      <c r="J186" s="577"/>
      <c r="K186" s="577"/>
      <c r="L186" s="577"/>
      <c r="M186" s="577"/>
      <c r="N186" s="577"/>
      <c r="O186" s="577"/>
      <c r="P186" s="577"/>
      <c r="Q186" s="577"/>
      <c r="R186" s="577"/>
      <c r="S186" s="577"/>
      <c r="T186" s="577"/>
      <c r="U186" s="577"/>
      <c r="V186" s="577"/>
      <c r="W186" s="577"/>
      <c r="X186" s="577"/>
      <c r="Y186" s="577"/>
      <c r="Z186" s="577"/>
      <c r="AA186" s="577"/>
      <c r="AB186" s="577"/>
      <c r="AC186" s="577"/>
      <c r="AD186" s="577"/>
      <c r="AE186" s="577"/>
      <c r="AF186" s="577"/>
      <c r="AG186" s="577"/>
      <c r="AH186" s="577"/>
      <c r="AI186" s="577"/>
      <c r="AJ186" s="577"/>
      <c r="AK186" s="577"/>
      <c r="AL186" s="577"/>
      <c r="AM186" s="577"/>
      <c r="AN186" s="577"/>
      <c r="AO186" s="577"/>
      <c r="AP186" s="577"/>
      <c r="AQ186" s="577"/>
      <c r="AR186" s="577"/>
      <c r="AS186" s="577"/>
      <c r="AT186" s="577"/>
      <c r="AU186" s="577"/>
      <c r="AV186" s="577"/>
      <c r="AW186" s="577"/>
      <c r="AX186" s="577"/>
      <c r="AY186" s="577"/>
      <c r="AZ186" s="577"/>
    </row>
    <row r="187" spans="1:52" ht="15.75" customHeight="1" x14ac:dyDescent="0.2">
      <c r="A187" s="577"/>
      <c r="B187" s="577"/>
      <c r="C187" s="577"/>
      <c r="D187" s="577"/>
      <c r="E187" s="577"/>
      <c r="F187" s="577"/>
      <c r="G187" s="577"/>
      <c r="H187" s="577"/>
      <c r="I187" s="577"/>
      <c r="J187" s="577"/>
      <c r="K187" s="577"/>
      <c r="L187" s="577"/>
      <c r="M187" s="577"/>
      <c r="N187" s="577"/>
      <c r="O187" s="577"/>
      <c r="P187" s="577"/>
      <c r="Q187" s="577"/>
      <c r="R187" s="577"/>
      <c r="S187" s="577"/>
      <c r="T187" s="577"/>
      <c r="U187" s="577"/>
      <c r="V187" s="577"/>
      <c r="W187" s="577"/>
      <c r="X187" s="577"/>
      <c r="Y187" s="577"/>
      <c r="Z187" s="577"/>
      <c r="AA187" s="577"/>
      <c r="AB187" s="577"/>
      <c r="AC187" s="577"/>
      <c r="AD187" s="577"/>
      <c r="AE187" s="577"/>
      <c r="AF187" s="577"/>
      <c r="AG187" s="577"/>
      <c r="AH187" s="577"/>
      <c r="AI187" s="577"/>
      <c r="AJ187" s="577"/>
      <c r="AK187" s="577"/>
      <c r="AL187" s="577"/>
      <c r="AM187" s="577"/>
      <c r="AN187" s="577"/>
      <c r="AO187" s="577"/>
      <c r="AP187" s="577"/>
      <c r="AQ187" s="577"/>
      <c r="AR187" s="577"/>
      <c r="AS187" s="577"/>
      <c r="AT187" s="577"/>
      <c r="AU187" s="577"/>
      <c r="AV187" s="577"/>
      <c r="AW187" s="577"/>
      <c r="AX187" s="577"/>
      <c r="AY187" s="577"/>
      <c r="AZ187" s="577"/>
    </row>
    <row r="188" spans="1:52" ht="15.75" customHeight="1" x14ac:dyDescent="0.2">
      <c r="A188" s="577"/>
      <c r="B188" s="577"/>
      <c r="C188" s="577"/>
      <c r="D188" s="577"/>
      <c r="E188" s="577"/>
      <c r="F188" s="577"/>
      <c r="G188" s="577"/>
      <c r="H188" s="577"/>
      <c r="I188" s="577"/>
      <c r="J188" s="577"/>
      <c r="K188" s="577"/>
      <c r="L188" s="577"/>
      <c r="M188" s="577"/>
      <c r="N188" s="577"/>
      <c r="O188" s="577"/>
      <c r="P188" s="577"/>
      <c r="Q188" s="577"/>
      <c r="R188" s="577"/>
      <c r="S188" s="577"/>
      <c r="T188" s="577"/>
      <c r="U188" s="577"/>
      <c r="V188" s="577"/>
      <c r="W188" s="577"/>
      <c r="X188" s="577"/>
      <c r="Y188" s="577"/>
      <c r="Z188" s="577"/>
      <c r="AA188" s="577"/>
      <c r="AB188" s="577"/>
      <c r="AC188" s="577"/>
      <c r="AD188" s="577"/>
      <c r="AE188" s="577"/>
      <c r="AF188" s="577"/>
      <c r="AG188" s="577"/>
      <c r="AH188" s="577"/>
      <c r="AI188" s="577"/>
      <c r="AJ188" s="577"/>
      <c r="AK188" s="577"/>
      <c r="AL188" s="577"/>
      <c r="AM188" s="577"/>
      <c r="AN188" s="577"/>
      <c r="AO188" s="577"/>
      <c r="AP188" s="577"/>
      <c r="AQ188" s="577"/>
      <c r="AR188" s="577"/>
      <c r="AS188" s="577"/>
      <c r="AT188" s="577"/>
      <c r="AU188" s="577"/>
      <c r="AV188" s="577"/>
      <c r="AW188" s="577"/>
      <c r="AX188" s="577"/>
      <c r="AY188" s="577"/>
      <c r="AZ188" s="577"/>
    </row>
    <row r="189" spans="1:52" ht="15.75" customHeight="1" x14ac:dyDescent="0.2">
      <c r="A189" s="577"/>
      <c r="B189" s="577"/>
      <c r="C189" s="577"/>
      <c r="D189" s="577"/>
      <c r="E189" s="577"/>
      <c r="F189" s="577"/>
      <c r="G189" s="577"/>
      <c r="H189" s="577"/>
      <c r="I189" s="577"/>
      <c r="J189" s="577"/>
      <c r="K189" s="577"/>
      <c r="L189" s="577"/>
      <c r="M189" s="577"/>
      <c r="N189" s="577"/>
      <c r="O189" s="577"/>
      <c r="P189" s="577"/>
      <c r="Q189" s="577"/>
      <c r="R189" s="577"/>
      <c r="S189" s="577"/>
      <c r="T189" s="577"/>
      <c r="U189" s="577"/>
      <c r="V189" s="577"/>
      <c r="W189" s="577"/>
      <c r="X189" s="577"/>
      <c r="Y189" s="577"/>
      <c r="Z189" s="577"/>
      <c r="AA189" s="577"/>
      <c r="AB189" s="577"/>
      <c r="AC189" s="577"/>
      <c r="AD189" s="577"/>
      <c r="AE189" s="577"/>
      <c r="AF189" s="577"/>
      <c r="AG189" s="577"/>
      <c r="AH189" s="577"/>
      <c r="AI189" s="577"/>
      <c r="AJ189" s="577"/>
      <c r="AK189" s="577"/>
      <c r="AL189" s="577"/>
      <c r="AM189" s="577"/>
      <c r="AN189" s="577"/>
      <c r="AO189" s="577"/>
      <c r="AP189" s="577"/>
      <c r="AQ189" s="577"/>
      <c r="AR189" s="577"/>
      <c r="AS189" s="577"/>
      <c r="AT189" s="577"/>
      <c r="AU189" s="577"/>
      <c r="AV189" s="577"/>
      <c r="AW189" s="577"/>
      <c r="AX189" s="577"/>
      <c r="AY189" s="577"/>
      <c r="AZ189" s="577"/>
    </row>
    <row r="190" spans="1:52" ht="15.75" customHeight="1" x14ac:dyDescent="0.2">
      <c r="A190" s="577"/>
      <c r="B190" s="577"/>
      <c r="C190" s="577"/>
      <c r="D190" s="577"/>
      <c r="E190" s="577"/>
      <c r="F190" s="577"/>
      <c r="G190" s="577"/>
      <c r="H190" s="577"/>
      <c r="I190" s="577"/>
      <c r="J190" s="577"/>
      <c r="K190" s="577"/>
      <c r="L190" s="577"/>
      <c r="M190" s="577"/>
      <c r="N190" s="577"/>
      <c r="O190" s="577"/>
      <c r="P190" s="577"/>
      <c r="Q190" s="577"/>
      <c r="R190" s="577"/>
      <c r="S190" s="577"/>
      <c r="T190" s="577"/>
      <c r="U190" s="577"/>
      <c r="V190" s="577"/>
      <c r="W190" s="577"/>
      <c r="X190" s="577"/>
      <c r="Y190" s="577"/>
      <c r="Z190" s="577"/>
      <c r="AA190" s="577"/>
      <c r="AB190" s="577"/>
      <c r="AC190" s="577"/>
      <c r="AD190" s="577"/>
      <c r="AE190" s="577"/>
      <c r="AF190" s="577"/>
      <c r="AG190" s="577"/>
      <c r="AH190" s="577"/>
      <c r="AI190" s="577"/>
      <c r="AJ190" s="577"/>
      <c r="AK190" s="577"/>
      <c r="AL190" s="577"/>
      <c r="AM190" s="577"/>
      <c r="AN190" s="577"/>
      <c r="AO190" s="577"/>
      <c r="AP190" s="577"/>
      <c r="AQ190" s="577"/>
      <c r="AR190" s="577"/>
      <c r="AS190" s="577"/>
      <c r="AT190" s="577"/>
      <c r="AU190" s="577"/>
      <c r="AV190" s="577"/>
      <c r="AW190" s="577"/>
      <c r="AX190" s="577"/>
      <c r="AY190" s="577"/>
      <c r="AZ190" s="577"/>
    </row>
    <row r="191" spans="1:52" ht="15.75" customHeight="1" x14ac:dyDescent="0.2">
      <c r="A191" s="577"/>
      <c r="B191" s="577"/>
      <c r="C191" s="577"/>
      <c r="D191" s="577"/>
      <c r="E191" s="577"/>
      <c r="F191" s="577"/>
      <c r="G191" s="577"/>
      <c r="H191" s="577"/>
      <c r="I191" s="577"/>
      <c r="J191" s="577"/>
      <c r="K191" s="577"/>
      <c r="L191" s="577"/>
      <c r="M191" s="577"/>
      <c r="N191" s="577"/>
      <c r="O191" s="577"/>
      <c r="P191" s="577"/>
      <c r="Q191" s="577"/>
      <c r="R191" s="577"/>
      <c r="S191" s="577"/>
      <c r="T191" s="577"/>
      <c r="U191" s="577"/>
      <c r="V191" s="577"/>
      <c r="W191" s="577"/>
      <c r="X191" s="577"/>
      <c r="Y191" s="577"/>
      <c r="Z191" s="577"/>
      <c r="AA191" s="577"/>
      <c r="AB191" s="577"/>
      <c r="AC191" s="577"/>
      <c r="AD191" s="577"/>
      <c r="AE191" s="577"/>
      <c r="AF191" s="577"/>
      <c r="AG191" s="577"/>
      <c r="AH191" s="577"/>
      <c r="AI191" s="577"/>
      <c r="AJ191" s="577"/>
      <c r="AK191" s="577"/>
      <c r="AL191" s="577"/>
      <c r="AM191" s="577"/>
      <c r="AN191" s="577"/>
      <c r="AO191" s="577"/>
      <c r="AP191" s="577"/>
      <c r="AQ191" s="577"/>
      <c r="AR191" s="577"/>
      <c r="AS191" s="577"/>
      <c r="AT191" s="577"/>
      <c r="AU191" s="577"/>
      <c r="AV191" s="577"/>
      <c r="AW191" s="577"/>
      <c r="AX191" s="577"/>
      <c r="AY191" s="577"/>
      <c r="AZ191" s="577"/>
    </row>
    <row r="192" spans="1:52" ht="15.75" customHeight="1" x14ac:dyDescent="0.2">
      <c r="A192" s="577"/>
      <c r="B192" s="577"/>
      <c r="C192" s="577"/>
      <c r="D192" s="577"/>
      <c r="E192" s="577"/>
      <c r="F192" s="577"/>
      <c r="G192" s="577"/>
      <c r="H192" s="577"/>
      <c r="I192" s="577"/>
      <c r="J192" s="577"/>
      <c r="K192" s="577"/>
      <c r="L192" s="577"/>
      <c r="M192" s="577"/>
      <c r="N192" s="577"/>
      <c r="O192" s="577"/>
      <c r="P192" s="577"/>
      <c r="Q192" s="577"/>
      <c r="R192" s="577"/>
      <c r="S192" s="577"/>
      <c r="T192" s="577"/>
      <c r="U192" s="577"/>
      <c r="V192" s="577"/>
      <c r="W192" s="577"/>
      <c r="X192" s="577"/>
      <c r="Y192" s="577"/>
      <c r="Z192" s="577"/>
      <c r="AA192" s="577"/>
      <c r="AB192" s="577"/>
      <c r="AC192" s="577"/>
      <c r="AD192" s="577"/>
      <c r="AE192" s="577"/>
      <c r="AF192" s="577"/>
      <c r="AG192" s="577"/>
      <c r="AH192" s="577"/>
      <c r="AI192" s="577"/>
      <c r="AJ192" s="577"/>
      <c r="AK192" s="577"/>
      <c r="AL192" s="577"/>
      <c r="AM192" s="577"/>
      <c r="AN192" s="577"/>
      <c r="AO192" s="577"/>
      <c r="AP192" s="577"/>
      <c r="AQ192" s="577"/>
      <c r="AR192" s="577"/>
      <c r="AS192" s="577"/>
      <c r="AT192" s="577"/>
      <c r="AU192" s="577"/>
      <c r="AV192" s="577"/>
      <c r="AW192" s="577"/>
      <c r="AX192" s="577"/>
      <c r="AY192" s="577"/>
      <c r="AZ192" s="577"/>
    </row>
    <row r="193" spans="1:52" ht="15.75" customHeight="1" x14ac:dyDescent="0.2">
      <c r="A193" s="577"/>
      <c r="B193" s="577"/>
      <c r="C193" s="577"/>
      <c r="D193" s="577"/>
      <c r="E193" s="577"/>
      <c r="F193" s="577"/>
      <c r="G193" s="577"/>
      <c r="H193" s="577"/>
      <c r="I193" s="577"/>
      <c r="J193" s="577"/>
      <c r="K193" s="577"/>
      <c r="L193" s="577"/>
      <c r="M193" s="577"/>
      <c r="N193" s="577"/>
      <c r="O193" s="577"/>
      <c r="P193" s="577"/>
      <c r="Q193" s="577"/>
      <c r="R193" s="577"/>
      <c r="S193" s="577"/>
      <c r="T193" s="577"/>
      <c r="U193" s="577"/>
      <c r="V193" s="577"/>
      <c r="W193" s="577"/>
      <c r="X193" s="577"/>
      <c r="Y193" s="577"/>
      <c r="Z193" s="577"/>
      <c r="AA193" s="577"/>
      <c r="AB193" s="577"/>
      <c r="AC193" s="577"/>
      <c r="AD193" s="577"/>
      <c r="AE193" s="577"/>
      <c r="AF193" s="577"/>
      <c r="AG193" s="577"/>
      <c r="AH193" s="577"/>
      <c r="AI193" s="577"/>
      <c r="AJ193" s="577"/>
      <c r="AK193" s="577"/>
      <c r="AL193" s="577"/>
      <c r="AM193" s="577"/>
      <c r="AN193" s="577"/>
      <c r="AO193" s="577"/>
      <c r="AP193" s="577"/>
      <c r="AQ193" s="577"/>
      <c r="AR193" s="577"/>
      <c r="AS193" s="577"/>
      <c r="AT193" s="577"/>
      <c r="AU193" s="577"/>
      <c r="AV193" s="577"/>
      <c r="AW193" s="577"/>
      <c r="AX193" s="577"/>
      <c r="AY193" s="577"/>
      <c r="AZ193" s="577"/>
    </row>
    <row r="194" spans="1:52" ht="15.75" customHeight="1" x14ac:dyDescent="0.2">
      <c r="A194" s="577"/>
      <c r="B194" s="577"/>
      <c r="C194" s="577"/>
      <c r="D194" s="577"/>
      <c r="E194" s="577"/>
      <c r="F194" s="577"/>
      <c r="G194" s="577"/>
      <c r="H194" s="577"/>
      <c r="I194" s="577"/>
      <c r="J194" s="577"/>
      <c r="K194" s="577"/>
      <c r="L194" s="577"/>
      <c r="M194" s="577"/>
      <c r="N194" s="577"/>
      <c r="O194" s="577"/>
      <c r="P194" s="577"/>
      <c r="Q194" s="577"/>
      <c r="R194" s="577"/>
      <c r="S194" s="577"/>
      <c r="T194" s="577"/>
      <c r="U194" s="577"/>
      <c r="V194" s="577"/>
      <c r="W194" s="577"/>
      <c r="X194" s="577"/>
      <c r="Y194" s="577"/>
      <c r="Z194" s="577"/>
      <c r="AA194" s="577"/>
      <c r="AB194" s="577"/>
      <c r="AC194" s="577"/>
      <c r="AD194" s="577"/>
      <c r="AE194" s="577"/>
      <c r="AF194" s="577"/>
      <c r="AG194" s="577"/>
      <c r="AH194" s="577"/>
      <c r="AI194" s="577"/>
      <c r="AJ194" s="577"/>
      <c r="AK194" s="577"/>
      <c r="AL194" s="577"/>
      <c r="AM194" s="577"/>
      <c r="AN194" s="577"/>
      <c r="AO194" s="577"/>
      <c r="AP194" s="577"/>
      <c r="AQ194" s="577"/>
      <c r="AR194" s="577"/>
      <c r="AS194" s="577"/>
      <c r="AT194" s="577"/>
      <c r="AU194" s="577"/>
      <c r="AV194" s="577"/>
      <c r="AW194" s="577"/>
      <c r="AX194" s="577"/>
      <c r="AY194" s="577"/>
      <c r="AZ194" s="577"/>
    </row>
    <row r="195" spans="1:52" ht="15.75" customHeight="1" x14ac:dyDescent="0.2">
      <c r="A195" s="577"/>
      <c r="B195" s="577"/>
      <c r="C195" s="577"/>
      <c r="D195" s="577"/>
      <c r="E195" s="577"/>
      <c r="F195" s="577"/>
      <c r="G195" s="577"/>
      <c r="H195" s="577"/>
      <c r="I195" s="577"/>
      <c r="J195" s="577"/>
      <c r="K195" s="577"/>
      <c r="L195" s="577"/>
      <c r="M195" s="577"/>
      <c r="N195" s="577"/>
      <c r="O195" s="577"/>
      <c r="P195" s="577"/>
      <c r="Q195" s="577"/>
      <c r="R195" s="577"/>
      <c r="S195" s="577"/>
      <c r="T195" s="577"/>
      <c r="U195" s="577"/>
      <c r="V195" s="577"/>
      <c r="W195" s="577"/>
      <c r="X195" s="577"/>
      <c r="Y195" s="577"/>
      <c r="Z195" s="577"/>
      <c r="AA195" s="577"/>
      <c r="AB195" s="577"/>
      <c r="AC195" s="577"/>
      <c r="AD195" s="577"/>
      <c r="AE195" s="577"/>
      <c r="AF195" s="577"/>
      <c r="AG195" s="577"/>
      <c r="AH195" s="577"/>
      <c r="AI195" s="577"/>
      <c r="AJ195" s="577"/>
      <c r="AK195" s="577"/>
      <c r="AL195" s="577"/>
      <c r="AM195" s="577"/>
      <c r="AN195" s="577"/>
      <c r="AO195" s="577"/>
      <c r="AP195" s="577"/>
      <c r="AQ195" s="577"/>
      <c r="AR195" s="577"/>
      <c r="AS195" s="577"/>
      <c r="AT195" s="577"/>
      <c r="AU195" s="577"/>
      <c r="AV195" s="577"/>
      <c r="AW195" s="577"/>
      <c r="AX195" s="577"/>
      <c r="AY195" s="577"/>
      <c r="AZ195" s="577"/>
    </row>
    <row r="196" spans="1:52" ht="0" hidden="1" customHeight="1" x14ac:dyDescent="0.2">
      <c r="A196" s="624"/>
      <c r="B196" s="624"/>
      <c r="C196" s="624"/>
      <c r="D196" s="624"/>
      <c r="E196" s="624"/>
      <c r="F196" s="624"/>
      <c r="G196" s="624"/>
      <c r="H196" s="624"/>
      <c r="I196" s="624"/>
      <c r="J196" s="624"/>
      <c r="K196" s="624"/>
      <c r="L196" s="624"/>
      <c r="M196" s="624"/>
      <c r="N196" s="624"/>
      <c r="O196" s="624"/>
      <c r="P196" s="624"/>
      <c r="Q196" s="624"/>
      <c r="R196" s="624"/>
      <c r="S196" s="624"/>
      <c r="T196" s="624"/>
      <c r="U196" s="624"/>
      <c r="V196" s="624"/>
      <c r="W196" s="624"/>
      <c r="X196" s="624"/>
      <c r="Y196" s="624"/>
      <c r="Z196" s="624"/>
      <c r="AA196" s="624"/>
      <c r="AB196" s="624"/>
      <c r="AC196" s="624"/>
      <c r="AD196" s="624"/>
      <c r="AE196" s="624"/>
      <c r="AF196" s="624"/>
      <c r="AG196" s="624"/>
      <c r="AH196" s="624"/>
      <c r="AI196" s="624"/>
      <c r="AJ196" s="624"/>
      <c r="AK196" s="624"/>
      <c r="AL196" s="624"/>
      <c r="AM196" s="624"/>
      <c r="AN196" s="624"/>
      <c r="AO196" s="624"/>
      <c r="AP196" s="624"/>
      <c r="AQ196" s="624"/>
      <c r="AR196" s="624"/>
      <c r="AS196" s="624"/>
      <c r="AT196" s="624"/>
      <c r="AU196" s="624"/>
      <c r="AV196" s="624"/>
      <c r="AW196" s="624"/>
      <c r="AX196" s="624"/>
      <c r="AY196" s="624"/>
      <c r="AZ196" s="624"/>
    </row>
    <row r="197" spans="1:52" ht="0" hidden="1" customHeight="1" x14ac:dyDescent="0.2">
      <c r="A197" s="624"/>
      <c r="B197" s="624"/>
      <c r="C197" s="624"/>
      <c r="D197" s="624"/>
      <c r="E197" s="624"/>
      <c r="F197" s="624"/>
      <c r="G197" s="624"/>
      <c r="H197" s="624"/>
      <c r="I197" s="624"/>
      <c r="J197" s="624"/>
      <c r="K197" s="624"/>
      <c r="L197" s="624"/>
      <c r="M197" s="624"/>
      <c r="N197" s="624"/>
      <c r="O197" s="624"/>
      <c r="P197" s="624"/>
      <c r="Q197" s="624"/>
      <c r="R197" s="624"/>
      <c r="S197" s="624"/>
      <c r="T197" s="624"/>
      <c r="U197" s="624"/>
      <c r="V197" s="624"/>
      <c r="W197" s="624"/>
      <c r="X197" s="624"/>
      <c r="Y197" s="624"/>
      <c r="Z197" s="624"/>
      <c r="AA197" s="624"/>
      <c r="AB197" s="624"/>
      <c r="AC197" s="624"/>
      <c r="AD197" s="624"/>
      <c r="AE197" s="624"/>
      <c r="AF197" s="624"/>
      <c r="AG197" s="624"/>
      <c r="AH197" s="624"/>
      <c r="AI197" s="624"/>
      <c r="AJ197" s="624"/>
      <c r="AK197" s="624"/>
      <c r="AL197" s="624"/>
      <c r="AM197" s="624"/>
      <c r="AN197" s="624"/>
      <c r="AO197" s="624"/>
      <c r="AP197" s="624"/>
      <c r="AQ197" s="624"/>
      <c r="AR197" s="624"/>
      <c r="AS197" s="624"/>
      <c r="AT197" s="624"/>
      <c r="AU197" s="624"/>
      <c r="AV197" s="624"/>
      <c r="AW197" s="624"/>
      <c r="AX197" s="624"/>
      <c r="AY197" s="624"/>
      <c r="AZ197" s="624"/>
    </row>
    <row r="198" spans="1:52" ht="0" hidden="1" customHeight="1" x14ac:dyDescent="0.2">
      <c r="A198" s="624"/>
      <c r="B198" s="624"/>
      <c r="C198" s="624"/>
      <c r="D198" s="624"/>
      <c r="E198" s="624"/>
      <c r="F198" s="624"/>
      <c r="G198" s="624"/>
      <c r="H198" s="624"/>
      <c r="I198" s="624"/>
      <c r="J198" s="624"/>
      <c r="K198" s="624"/>
      <c r="L198" s="624"/>
      <c r="M198" s="624"/>
      <c r="N198" s="624"/>
      <c r="O198" s="624"/>
      <c r="P198" s="624"/>
      <c r="Q198" s="624"/>
      <c r="R198" s="624"/>
      <c r="S198" s="624"/>
      <c r="T198" s="624"/>
      <c r="U198" s="624"/>
      <c r="V198" s="624"/>
      <c r="W198" s="624"/>
      <c r="X198" s="624"/>
      <c r="Y198" s="624"/>
      <c r="Z198" s="624"/>
      <c r="AA198" s="624"/>
      <c r="AB198" s="624"/>
      <c r="AC198" s="624"/>
      <c r="AD198" s="624"/>
      <c r="AE198" s="624"/>
      <c r="AF198" s="624"/>
      <c r="AG198" s="624"/>
      <c r="AH198" s="624"/>
      <c r="AI198" s="624"/>
      <c r="AJ198" s="624"/>
      <c r="AK198" s="624"/>
      <c r="AL198" s="624"/>
      <c r="AM198" s="624"/>
      <c r="AN198" s="624"/>
      <c r="AO198" s="624"/>
      <c r="AP198" s="624"/>
      <c r="AQ198" s="624"/>
      <c r="AR198" s="624"/>
      <c r="AS198" s="624"/>
      <c r="AT198" s="624"/>
      <c r="AU198" s="624"/>
      <c r="AV198" s="624"/>
      <c r="AW198" s="624"/>
      <c r="AX198" s="624"/>
      <c r="AY198" s="624"/>
      <c r="AZ198" s="624"/>
    </row>
    <row r="199" spans="1:52" ht="0" hidden="1" customHeight="1" x14ac:dyDescent="0.2">
      <c r="A199" s="624"/>
      <c r="B199" s="624"/>
      <c r="C199" s="624"/>
      <c r="D199" s="624"/>
      <c r="E199" s="624"/>
      <c r="F199" s="624"/>
      <c r="G199" s="624"/>
      <c r="H199" s="624"/>
      <c r="I199" s="624"/>
      <c r="J199" s="624"/>
      <c r="K199" s="624"/>
      <c r="L199" s="624"/>
      <c r="M199" s="624"/>
      <c r="N199" s="624"/>
      <c r="O199" s="624"/>
      <c r="P199" s="624"/>
      <c r="Q199" s="624"/>
      <c r="R199" s="624"/>
      <c r="S199" s="624"/>
      <c r="T199" s="624"/>
      <c r="U199" s="624"/>
      <c r="V199" s="624"/>
      <c r="W199" s="624"/>
      <c r="X199" s="624"/>
      <c r="Y199" s="624"/>
      <c r="Z199" s="624"/>
      <c r="AA199" s="624"/>
      <c r="AB199" s="624"/>
      <c r="AC199" s="624"/>
      <c r="AD199" s="624"/>
      <c r="AE199" s="624"/>
      <c r="AF199" s="624"/>
      <c r="AG199" s="624"/>
      <c r="AH199" s="624"/>
      <c r="AI199" s="624"/>
      <c r="AJ199" s="624"/>
      <c r="AK199" s="624"/>
      <c r="AL199" s="624"/>
      <c r="AM199" s="624"/>
      <c r="AN199" s="624"/>
      <c r="AO199" s="624"/>
      <c r="AP199" s="624"/>
      <c r="AQ199" s="624"/>
      <c r="AR199" s="624"/>
      <c r="AS199" s="624"/>
      <c r="AT199" s="624"/>
      <c r="AU199" s="624"/>
      <c r="AV199" s="624"/>
      <c r="AW199" s="624"/>
      <c r="AX199" s="624"/>
      <c r="AY199" s="624"/>
      <c r="AZ199" s="624"/>
    </row>
    <row r="200" spans="1:52" ht="0" hidden="1" customHeight="1" x14ac:dyDescent="0.2">
      <c r="A200" s="624"/>
      <c r="B200" s="624"/>
      <c r="C200" s="624"/>
      <c r="D200" s="624"/>
      <c r="E200" s="624"/>
      <c r="F200" s="624"/>
      <c r="G200" s="624"/>
      <c r="H200" s="624"/>
      <c r="I200" s="624"/>
      <c r="J200" s="624"/>
      <c r="K200" s="624"/>
      <c r="L200" s="624"/>
      <c r="M200" s="624"/>
      <c r="N200" s="624"/>
      <c r="O200" s="624"/>
      <c r="P200" s="624"/>
      <c r="Q200" s="624"/>
      <c r="R200" s="624"/>
      <c r="S200" s="624"/>
      <c r="T200" s="624"/>
      <c r="U200" s="624"/>
      <c r="V200" s="624"/>
      <c r="W200" s="624"/>
      <c r="X200" s="624"/>
      <c r="Y200" s="624"/>
      <c r="Z200" s="624"/>
      <c r="AA200" s="624"/>
      <c r="AB200" s="624"/>
      <c r="AC200" s="624"/>
      <c r="AD200" s="624"/>
      <c r="AE200" s="624"/>
      <c r="AF200" s="624"/>
      <c r="AG200" s="624"/>
      <c r="AH200" s="624"/>
      <c r="AI200" s="624"/>
      <c r="AJ200" s="624"/>
      <c r="AK200" s="624"/>
      <c r="AL200" s="624"/>
      <c r="AM200" s="624"/>
      <c r="AN200" s="624"/>
      <c r="AO200" s="624"/>
      <c r="AP200" s="624"/>
      <c r="AQ200" s="624"/>
      <c r="AR200" s="624"/>
      <c r="AS200" s="624"/>
      <c r="AT200" s="624"/>
      <c r="AU200" s="624"/>
      <c r="AV200" s="624"/>
      <c r="AW200" s="624"/>
      <c r="AX200" s="624"/>
      <c r="AY200" s="624"/>
      <c r="AZ200" s="624"/>
    </row>
  </sheetData>
  <sheetProtection formatCells="0" formatColumns="0" formatRows="0" autoFilter="0"/>
  <pageMargins left="0.75" right="0.75" top="1" bottom="1" header="0.5" footer="0.5"/>
  <pageSetup scale="84" orientation="portrait"/>
  <headerFooter alignWithMargins="0">
    <oddHeader>&amp;CSpring 2018 Exam 5 Make-Up</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Z200"/>
  <sheetViews>
    <sheetView zoomScale="90" zoomScaleNormal="90" workbookViewId="0"/>
  </sheetViews>
  <sheetFormatPr defaultColWidth="0" defaultRowHeight="0" customHeight="1" zeroHeight="1" x14ac:dyDescent="0.2"/>
  <cols>
    <col min="1" max="1" width="8.5" style="578" customWidth="1"/>
    <col min="2" max="2" width="17.25" style="578" customWidth="1"/>
    <col min="3" max="3" width="19.5" style="578" customWidth="1"/>
    <col min="4" max="4" width="17.25" style="578" customWidth="1"/>
    <col min="5" max="6" width="7.625" style="578" customWidth="1"/>
    <col min="7" max="7" width="22" style="578" customWidth="1"/>
    <col min="8" max="8" width="10.5" style="578" customWidth="1"/>
    <col min="9" max="9" width="10.375" style="578" customWidth="1"/>
    <col min="10" max="10" width="10.625" style="578" customWidth="1"/>
    <col min="11" max="11" width="10.75" style="578" customWidth="1"/>
    <col min="12" max="49" width="7.625" style="578" customWidth="1"/>
    <col min="50" max="16384" width="7.625" style="578" hidden="1"/>
  </cols>
  <sheetData>
    <row r="1" spans="1:52" ht="15.75" customHeight="1" thickBot="1" x14ac:dyDescent="0.25">
      <c r="A1" s="1">
        <v>26</v>
      </c>
      <c r="B1" s="2"/>
      <c r="C1" s="3"/>
      <c r="D1" s="3"/>
      <c r="E1" s="3"/>
      <c r="F1" s="3"/>
      <c r="G1" s="4"/>
      <c r="H1" s="577"/>
      <c r="I1" s="577"/>
      <c r="J1" s="577"/>
      <c r="K1" s="577" t="s">
        <v>818</v>
      </c>
      <c r="L1" s="577"/>
      <c r="M1" s="577"/>
      <c r="N1" s="577"/>
      <c r="O1" s="577"/>
      <c r="P1" s="577"/>
      <c r="Q1" s="577"/>
      <c r="R1" s="577"/>
      <c r="S1" s="577"/>
      <c r="T1" s="577"/>
      <c r="U1" s="577"/>
      <c r="V1" s="577"/>
      <c r="W1" s="577"/>
      <c r="X1" s="577"/>
      <c r="Y1" s="577"/>
      <c r="Z1" s="577"/>
      <c r="AA1" s="577"/>
      <c r="AB1" s="577"/>
      <c r="AC1" s="577"/>
      <c r="AD1" s="577"/>
      <c r="AE1" s="577"/>
      <c r="AF1" s="577"/>
      <c r="AG1" s="577"/>
      <c r="AH1" s="577"/>
      <c r="AI1" s="577"/>
      <c r="AJ1" s="577"/>
      <c r="AK1" s="577"/>
      <c r="AL1" s="577"/>
      <c r="AM1" s="577"/>
      <c r="AN1" s="577"/>
      <c r="AO1" s="577"/>
      <c r="AP1" s="577"/>
      <c r="AQ1" s="577"/>
      <c r="AR1" s="577"/>
      <c r="AS1" s="577"/>
      <c r="AT1" s="577"/>
      <c r="AU1" s="577"/>
      <c r="AV1" s="577"/>
      <c r="AW1" s="577"/>
      <c r="AX1" s="577"/>
      <c r="AY1" s="577"/>
      <c r="AZ1" s="577"/>
    </row>
    <row r="2" spans="1:52" ht="15.75" customHeight="1" x14ac:dyDescent="0.2">
      <c r="A2" s="579" t="s">
        <v>0</v>
      </c>
      <c r="B2" s="580"/>
      <c r="C2" s="8"/>
      <c r="D2" s="8"/>
      <c r="E2" s="8"/>
      <c r="F2" s="8"/>
      <c r="G2" s="9"/>
      <c r="H2" s="577" t="s">
        <v>28</v>
      </c>
      <c r="I2" s="577"/>
      <c r="J2" s="577" t="s">
        <v>819</v>
      </c>
      <c r="K2" s="577" t="s">
        <v>820</v>
      </c>
      <c r="L2" s="577" t="s">
        <v>821</v>
      </c>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577"/>
      <c r="AN2" s="577"/>
      <c r="AO2" s="577"/>
      <c r="AP2" s="577"/>
      <c r="AQ2" s="577"/>
      <c r="AR2" s="577"/>
      <c r="AS2" s="577"/>
      <c r="AT2" s="577"/>
      <c r="AU2" s="577"/>
      <c r="AV2" s="577"/>
      <c r="AW2" s="577"/>
      <c r="AX2" s="577"/>
      <c r="AY2" s="577"/>
      <c r="AZ2" s="577"/>
    </row>
    <row r="3" spans="1:52" ht="15.75" customHeight="1" x14ac:dyDescent="0.2">
      <c r="A3" s="583">
        <v>1.75</v>
      </c>
      <c r="B3" s="11"/>
      <c r="C3" s="8"/>
      <c r="D3" s="8"/>
      <c r="E3" s="8"/>
      <c r="F3" s="8"/>
      <c r="G3" s="9"/>
      <c r="H3" s="577"/>
      <c r="I3" s="577">
        <v>2014</v>
      </c>
      <c r="J3" s="1115">
        <f>D9-C9</f>
        <v>2000</v>
      </c>
      <c r="K3" s="1116">
        <f>C9*E15*(1/F15-1/E15)*0.5</f>
        <v>1775.000000000002</v>
      </c>
      <c r="L3" s="1116">
        <f>J3-K3</f>
        <v>224.99999999999795</v>
      </c>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577"/>
      <c r="AW3" s="577"/>
      <c r="AX3" s="577"/>
      <c r="AY3" s="577"/>
      <c r="AZ3" s="577"/>
    </row>
    <row r="4" spans="1:52" ht="15.75" customHeight="1" x14ac:dyDescent="0.2">
      <c r="A4" s="584"/>
      <c r="B4" s="8" t="s">
        <v>414</v>
      </c>
      <c r="C4" s="8"/>
      <c r="D4" s="8"/>
      <c r="E4" s="8"/>
      <c r="F4" s="8"/>
      <c r="G4" s="9"/>
      <c r="H4" s="577"/>
      <c r="I4" s="577">
        <v>2015</v>
      </c>
      <c r="J4" s="1115">
        <f t="shared" ref="J4:J5" si="0">D10-C10</f>
        <v>6000</v>
      </c>
      <c r="K4" s="1116">
        <f>C10*D15*(1/E15-1/D15)*0.5</f>
        <v>4428.5714285714248</v>
      </c>
      <c r="L4" s="1116">
        <f t="shared" ref="L4:L5" si="1">J4-K4</f>
        <v>1571.4285714285752</v>
      </c>
      <c r="M4" s="111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c r="AT4" s="577"/>
      <c r="AU4" s="577"/>
      <c r="AV4" s="577"/>
      <c r="AW4" s="577"/>
      <c r="AX4" s="577"/>
      <c r="AY4" s="577"/>
      <c r="AZ4" s="577"/>
    </row>
    <row r="5" spans="1:52" ht="15.75" customHeight="1" thickBot="1" x14ac:dyDescent="0.25">
      <c r="A5" s="584"/>
      <c r="B5" s="1064"/>
      <c r="C5" s="1065"/>
      <c r="D5" s="8"/>
      <c r="E5" s="1066"/>
      <c r="F5" s="1066"/>
      <c r="G5" s="1067"/>
      <c r="H5" s="577"/>
      <c r="I5" s="577">
        <v>2016</v>
      </c>
      <c r="J5" s="1115">
        <f t="shared" si="0"/>
        <v>8000</v>
      </c>
      <c r="K5" s="1116">
        <f>C11*C15*(1/D15-1/C15)*0.5</f>
        <v>5000.0000000000018</v>
      </c>
      <c r="L5" s="1116">
        <f t="shared" si="1"/>
        <v>2999.9999999999982</v>
      </c>
      <c r="M5" s="577"/>
      <c r="N5" s="577"/>
      <c r="O5" s="577"/>
      <c r="P5" s="577"/>
      <c r="Q5" s="577"/>
      <c r="R5" s="577"/>
      <c r="S5" s="577"/>
      <c r="T5" s="577"/>
      <c r="U5" s="577"/>
      <c r="V5" s="577"/>
      <c r="W5" s="577"/>
      <c r="X5" s="577"/>
      <c r="Y5" s="577"/>
      <c r="Z5" s="577"/>
      <c r="AA5" s="577"/>
      <c r="AB5" s="577"/>
      <c r="AC5" s="577"/>
      <c r="AD5" s="577"/>
      <c r="AE5" s="577"/>
      <c r="AF5" s="577"/>
      <c r="AG5" s="577"/>
      <c r="AH5" s="577"/>
      <c r="AI5" s="577"/>
      <c r="AJ5" s="577"/>
      <c r="AK5" s="577"/>
      <c r="AL5" s="577"/>
      <c r="AM5" s="577"/>
      <c r="AN5" s="577"/>
      <c r="AO5" s="577"/>
      <c r="AP5" s="577"/>
      <c r="AQ5" s="577"/>
      <c r="AR5" s="577"/>
      <c r="AS5" s="577"/>
      <c r="AT5" s="577"/>
      <c r="AU5" s="577"/>
      <c r="AV5" s="577"/>
      <c r="AW5" s="577"/>
      <c r="AX5" s="577"/>
      <c r="AY5" s="577"/>
      <c r="AZ5" s="577"/>
    </row>
    <row r="6" spans="1:52" ht="15.75" customHeight="1" x14ac:dyDescent="0.2">
      <c r="A6" s="584"/>
      <c r="B6" s="1068"/>
      <c r="C6" s="1069" t="s">
        <v>803</v>
      </c>
      <c r="D6" s="1070"/>
      <c r="E6" s="1071"/>
      <c r="F6" s="1071"/>
      <c r="G6" s="1067"/>
      <c r="H6" s="577"/>
      <c r="I6" s="577" t="s">
        <v>89</v>
      </c>
      <c r="J6" s="577"/>
      <c r="K6" s="1116"/>
      <c r="L6" s="1116">
        <f>SUM(L3:L5)</f>
        <v>4796.4285714285716</v>
      </c>
      <c r="M6" s="577"/>
      <c r="N6" s="577"/>
      <c r="O6" s="577"/>
      <c r="P6" s="577"/>
      <c r="Q6" s="577"/>
      <c r="R6" s="577"/>
      <c r="S6" s="577"/>
      <c r="T6" s="577"/>
      <c r="U6" s="577"/>
      <c r="V6" s="577"/>
      <c r="W6" s="577"/>
      <c r="X6" s="577"/>
      <c r="Y6" s="577"/>
      <c r="Z6" s="577"/>
      <c r="AA6" s="577"/>
      <c r="AB6" s="577"/>
      <c r="AC6" s="577"/>
      <c r="AD6" s="577"/>
      <c r="AE6" s="577"/>
      <c r="AF6" s="577"/>
      <c r="AG6" s="577"/>
      <c r="AH6" s="577"/>
      <c r="AI6" s="577"/>
      <c r="AJ6" s="577"/>
      <c r="AK6" s="577"/>
      <c r="AL6" s="577"/>
      <c r="AM6" s="577"/>
      <c r="AN6" s="577"/>
      <c r="AO6" s="577"/>
      <c r="AP6" s="577"/>
      <c r="AQ6" s="577"/>
      <c r="AR6" s="577"/>
      <c r="AS6" s="577"/>
      <c r="AT6" s="577"/>
      <c r="AU6" s="577"/>
      <c r="AV6" s="577"/>
      <c r="AW6" s="577"/>
      <c r="AX6" s="577"/>
      <c r="AY6" s="577"/>
      <c r="AZ6" s="577"/>
    </row>
    <row r="7" spans="1:52" ht="15.75" customHeight="1" x14ac:dyDescent="0.2">
      <c r="A7" s="584"/>
      <c r="B7" s="1072" t="s">
        <v>135</v>
      </c>
      <c r="C7" s="1073" t="s">
        <v>804</v>
      </c>
      <c r="D7" s="1074" t="s">
        <v>804</v>
      </c>
      <c r="E7" s="18"/>
      <c r="F7" s="18"/>
      <c r="G7" s="1075"/>
      <c r="H7" s="577"/>
      <c r="I7" s="577"/>
      <c r="J7" s="577"/>
      <c r="K7" s="1116" t="s">
        <v>822</v>
      </c>
      <c r="L7" s="1116"/>
      <c r="M7" s="577"/>
      <c r="N7" s="577"/>
      <c r="O7" s="577"/>
      <c r="P7" s="577"/>
      <c r="Q7" s="577"/>
      <c r="R7" s="577"/>
      <c r="S7" s="577"/>
      <c r="T7" s="577"/>
      <c r="U7" s="577"/>
      <c r="V7" s="577"/>
      <c r="W7" s="577"/>
      <c r="X7" s="577"/>
      <c r="Y7" s="577"/>
      <c r="Z7" s="577"/>
      <c r="AA7" s="577"/>
      <c r="AB7" s="577"/>
      <c r="AC7" s="577"/>
      <c r="AD7" s="577"/>
      <c r="AE7" s="577"/>
      <c r="AF7" s="577"/>
      <c r="AG7" s="577"/>
      <c r="AH7" s="577"/>
      <c r="AI7" s="577"/>
      <c r="AJ7" s="577"/>
      <c r="AK7" s="577"/>
      <c r="AL7" s="577"/>
      <c r="AM7" s="577"/>
      <c r="AN7" s="577"/>
      <c r="AO7" s="577"/>
      <c r="AP7" s="577"/>
      <c r="AQ7" s="577"/>
      <c r="AR7" s="577"/>
      <c r="AS7" s="577"/>
      <c r="AT7" s="577"/>
      <c r="AU7" s="577"/>
      <c r="AV7" s="577"/>
      <c r="AW7" s="577"/>
      <c r="AX7" s="577"/>
      <c r="AY7" s="577"/>
      <c r="AZ7" s="577"/>
    </row>
    <row r="8" spans="1:52" ht="15.75" customHeight="1" thickBot="1" x14ac:dyDescent="0.25">
      <c r="A8" s="584"/>
      <c r="B8" s="20" t="s">
        <v>83</v>
      </c>
      <c r="C8" s="1076">
        <v>42735</v>
      </c>
      <c r="D8" s="1077">
        <v>42916</v>
      </c>
      <c r="E8" s="18"/>
      <c r="F8" s="8"/>
      <c r="G8" s="1075"/>
      <c r="H8" s="577"/>
      <c r="I8" s="577"/>
      <c r="J8" s="577" t="s">
        <v>819</v>
      </c>
      <c r="K8" s="1116" t="s">
        <v>820</v>
      </c>
      <c r="L8" s="1116" t="s">
        <v>821</v>
      </c>
      <c r="M8" s="577"/>
      <c r="N8" s="577"/>
      <c r="O8" s="577"/>
      <c r="P8" s="577"/>
      <c r="Q8" s="577"/>
      <c r="R8" s="577"/>
      <c r="S8" s="577"/>
      <c r="T8" s="577"/>
      <c r="U8" s="577"/>
      <c r="V8" s="577"/>
      <c r="W8" s="577"/>
      <c r="X8" s="577"/>
      <c r="Y8" s="577"/>
      <c r="Z8" s="577"/>
      <c r="AA8" s="577"/>
      <c r="AB8" s="577"/>
      <c r="AC8" s="577"/>
      <c r="AD8" s="577"/>
      <c r="AE8" s="577"/>
      <c r="AF8" s="577"/>
      <c r="AG8" s="577"/>
      <c r="AH8" s="577"/>
      <c r="AI8" s="577"/>
      <c r="AJ8" s="577"/>
      <c r="AK8" s="577"/>
      <c r="AL8" s="577"/>
      <c r="AM8" s="577"/>
      <c r="AN8" s="577"/>
      <c r="AO8" s="577"/>
      <c r="AP8" s="577"/>
      <c r="AQ8" s="577"/>
      <c r="AR8" s="577"/>
      <c r="AS8" s="577"/>
      <c r="AT8" s="577"/>
      <c r="AU8" s="577"/>
      <c r="AV8" s="577"/>
      <c r="AW8" s="577"/>
      <c r="AX8" s="577"/>
      <c r="AY8" s="577"/>
      <c r="AZ8" s="577"/>
    </row>
    <row r="9" spans="1:52" ht="15.75" customHeight="1" x14ac:dyDescent="0.2">
      <c r="A9" s="584"/>
      <c r="B9" s="595">
        <v>2014</v>
      </c>
      <c r="C9" s="1078">
        <v>71000</v>
      </c>
      <c r="D9" s="531">
        <v>73000</v>
      </c>
      <c r="E9" s="18"/>
      <c r="F9" s="8"/>
      <c r="G9" s="1075"/>
      <c r="H9" s="577"/>
      <c r="I9" s="577">
        <v>2014</v>
      </c>
      <c r="J9" s="1115">
        <f>D9-C9</f>
        <v>2000</v>
      </c>
      <c r="K9" s="1116">
        <f>C9*E16*(1/F16-1/E16)*0.5</f>
        <v>2485.0000000000005</v>
      </c>
      <c r="L9" s="1116">
        <f>J9-K9</f>
        <v>-485.00000000000045</v>
      </c>
      <c r="M9" s="577"/>
      <c r="N9" s="577"/>
      <c r="O9" s="577"/>
      <c r="P9" s="577"/>
      <c r="Q9" s="577"/>
      <c r="R9" s="577"/>
      <c r="S9" s="577"/>
      <c r="T9" s="577"/>
      <c r="U9" s="577"/>
      <c r="V9" s="577"/>
      <c r="W9" s="577"/>
      <c r="X9" s="577"/>
      <c r="Y9" s="577"/>
      <c r="Z9" s="577"/>
      <c r="AA9" s="577"/>
      <c r="AB9" s="577"/>
      <c r="AC9" s="577"/>
      <c r="AD9" s="577"/>
      <c r="AE9" s="577"/>
      <c r="AF9" s="577"/>
      <c r="AG9" s="577"/>
      <c r="AH9" s="577"/>
      <c r="AI9" s="577"/>
      <c r="AJ9" s="577"/>
      <c r="AK9" s="577"/>
      <c r="AL9" s="577"/>
      <c r="AM9" s="577"/>
      <c r="AN9" s="577"/>
      <c r="AO9" s="577"/>
      <c r="AP9" s="577"/>
      <c r="AQ9" s="577"/>
      <c r="AR9" s="577"/>
      <c r="AS9" s="577"/>
      <c r="AT9" s="577"/>
      <c r="AU9" s="577"/>
      <c r="AV9" s="577"/>
      <c r="AW9" s="577"/>
      <c r="AX9" s="577"/>
      <c r="AY9" s="577"/>
      <c r="AZ9" s="577"/>
    </row>
    <row r="10" spans="1:52" ht="15.75" customHeight="1" x14ac:dyDescent="0.2">
      <c r="A10" s="584"/>
      <c r="B10" s="595">
        <v>2015</v>
      </c>
      <c r="C10" s="1078">
        <v>62000</v>
      </c>
      <c r="D10" s="531">
        <v>68000</v>
      </c>
      <c r="E10" s="8"/>
      <c r="F10" s="8"/>
      <c r="G10" s="9"/>
      <c r="H10" s="577"/>
      <c r="I10" s="577">
        <v>2015</v>
      </c>
      <c r="J10" s="1115">
        <f t="shared" ref="J10:J11" si="2">D10-C10</f>
        <v>6000</v>
      </c>
      <c r="K10" s="1116">
        <f>C10*D16*(1/E16-1/D16)*0.5</f>
        <v>6663.5514018691611</v>
      </c>
      <c r="L10" s="1116">
        <f t="shared" ref="L10:L11" si="3">J10-K10</f>
        <v>-663.55140186916105</v>
      </c>
      <c r="M10" s="577"/>
      <c r="N10" s="577"/>
      <c r="O10" s="577"/>
      <c r="P10" s="577"/>
      <c r="Q10" s="577"/>
      <c r="R10" s="577"/>
      <c r="S10" s="577"/>
      <c r="T10" s="577"/>
      <c r="U10" s="577"/>
      <c r="V10" s="577"/>
      <c r="W10" s="577"/>
      <c r="X10" s="577"/>
      <c r="Y10" s="577"/>
      <c r="Z10" s="577"/>
      <c r="AA10" s="577"/>
      <c r="AB10" s="577"/>
      <c r="AC10" s="577"/>
      <c r="AD10" s="577"/>
      <c r="AE10" s="577"/>
      <c r="AF10" s="577"/>
      <c r="AG10" s="577"/>
      <c r="AH10" s="577"/>
      <c r="AI10" s="577"/>
      <c r="AJ10" s="577"/>
      <c r="AK10" s="577"/>
      <c r="AL10" s="577"/>
      <c r="AM10" s="577"/>
      <c r="AN10" s="577"/>
      <c r="AO10" s="577"/>
      <c r="AP10" s="577"/>
      <c r="AQ10" s="577"/>
      <c r="AR10" s="577"/>
      <c r="AS10" s="577"/>
      <c r="AT10" s="577"/>
      <c r="AU10" s="577"/>
      <c r="AV10" s="577"/>
      <c r="AW10" s="577"/>
      <c r="AX10" s="577"/>
      <c r="AY10" s="577"/>
      <c r="AZ10" s="577"/>
    </row>
    <row r="11" spans="1:52" ht="15.75" customHeight="1" thickBot="1" x14ac:dyDescent="0.25">
      <c r="A11" s="584"/>
      <c r="B11" s="601">
        <v>2016</v>
      </c>
      <c r="C11" s="1079">
        <v>40000</v>
      </c>
      <c r="D11" s="533">
        <v>48000</v>
      </c>
      <c r="E11" s="1080"/>
      <c r="F11" s="8"/>
      <c r="G11" s="1067"/>
      <c r="H11" s="577"/>
      <c r="I11" s="577">
        <v>2016</v>
      </c>
      <c r="J11" s="1115">
        <f t="shared" si="2"/>
        <v>8000</v>
      </c>
      <c r="K11" s="1116">
        <f>C11*C16*(1/D16-1/C16)*0.5</f>
        <v>7230.7692307692278</v>
      </c>
      <c r="L11" s="1116">
        <f t="shared" si="3"/>
        <v>769.23076923077224</v>
      </c>
      <c r="M11" s="577"/>
      <c r="N11" s="577"/>
      <c r="O11" s="577"/>
      <c r="P11" s="577"/>
      <c r="Q11" s="577"/>
      <c r="R11" s="577"/>
      <c r="S11" s="577"/>
      <c r="T11" s="577"/>
      <c r="U11" s="577"/>
      <c r="V11" s="577"/>
      <c r="W11" s="577"/>
      <c r="X11" s="577"/>
      <c r="Y11" s="577"/>
      <c r="Z11" s="577"/>
      <c r="AA11" s="577"/>
      <c r="AB11" s="577"/>
      <c r="AC11" s="577"/>
      <c r="AD11" s="577"/>
      <c r="AE11" s="577"/>
      <c r="AF11" s="577"/>
      <c r="AG11" s="577"/>
      <c r="AH11" s="577"/>
      <c r="AI11" s="577"/>
      <c r="AJ11" s="577"/>
      <c r="AK11" s="577"/>
      <c r="AL11" s="577"/>
      <c r="AM11" s="577"/>
      <c r="AN11" s="577"/>
      <c r="AO11" s="577"/>
      <c r="AP11" s="577"/>
      <c r="AQ11" s="577"/>
      <c r="AR11" s="577"/>
      <c r="AS11" s="577"/>
      <c r="AT11" s="577"/>
      <c r="AU11" s="577"/>
      <c r="AV11" s="577"/>
      <c r="AW11" s="577"/>
      <c r="AX11" s="577"/>
      <c r="AY11" s="577"/>
      <c r="AZ11" s="577"/>
    </row>
    <row r="12" spans="1:52" ht="15.75" customHeight="1" thickBot="1" x14ac:dyDescent="0.25">
      <c r="A12" s="584"/>
      <c r="B12" s="18"/>
      <c r="C12" s="1081"/>
      <c r="D12" s="1081"/>
      <c r="E12" s="1082"/>
      <c r="F12" s="1083"/>
      <c r="G12" s="1067"/>
      <c r="H12" s="577"/>
      <c r="I12" s="577" t="s">
        <v>89</v>
      </c>
      <c r="J12" s="577"/>
      <c r="K12" s="577"/>
      <c r="L12" s="1116">
        <f>SUM(L9:L11)</f>
        <v>-379.32063263838927</v>
      </c>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7"/>
      <c r="AL12" s="577"/>
      <c r="AM12" s="577"/>
      <c r="AN12" s="577"/>
      <c r="AO12" s="577"/>
      <c r="AP12" s="577"/>
      <c r="AQ12" s="577"/>
      <c r="AR12" s="577"/>
      <c r="AS12" s="577"/>
      <c r="AT12" s="577"/>
      <c r="AU12" s="577"/>
      <c r="AV12" s="577"/>
      <c r="AW12" s="577"/>
      <c r="AX12" s="577"/>
      <c r="AY12" s="577"/>
      <c r="AZ12" s="577"/>
    </row>
    <row r="13" spans="1:52" ht="15.75" customHeight="1" thickBot="1" x14ac:dyDescent="0.25">
      <c r="A13" s="584"/>
      <c r="B13" s="534"/>
      <c r="C13" s="1084" t="s">
        <v>805</v>
      </c>
      <c r="D13" s="1084"/>
      <c r="E13" s="1084"/>
      <c r="F13" s="1085"/>
      <c r="G13" s="1075"/>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577"/>
      <c r="AJ13" s="577"/>
      <c r="AK13" s="577"/>
      <c r="AL13" s="577"/>
      <c r="AM13" s="577"/>
      <c r="AN13" s="577"/>
      <c r="AO13" s="577"/>
      <c r="AP13" s="577"/>
      <c r="AQ13" s="577"/>
      <c r="AR13" s="577"/>
      <c r="AS13" s="577"/>
      <c r="AT13" s="577"/>
      <c r="AU13" s="577"/>
      <c r="AV13" s="577"/>
      <c r="AW13" s="577"/>
      <c r="AX13" s="577"/>
      <c r="AY13" s="577"/>
      <c r="AZ13" s="577"/>
    </row>
    <row r="14" spans="1:52" ht="15.75" customHeight="1" thickBot="1" x14ac:dyDescent="0.25">
      <c r="A14" s="1086"/>
      <c r="B14" s="590"/>
      <c r="C14" s="1087" t="s">
        <v>806</v>
      </c>
      <c r="D14" s="1088" t="s">
        <v>807</v>
      </c>
      <c r="E14" s="1088" t="s">
        <v>185</v>
      </c>
      <c r="F14" s="1089" t="s">
        <v>588</v>
      </c>
      <c r="G14" s="9"/>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577"/>
      <c r="AJ14" s="577"/>
      <c r="AK14" s="577"/>
      <c r="AL14" s="577"/>
      <c r="AM14" s="577"/>
      <c r="AN14" s="577"/>
      <c r="AO14" s="577"/>
      <c r="AP14" s="577"/>
      <c r="AQ14" s="577"/>
      <c r="AR14" s="577"/>
      <c r="AS14" s="577"/>
      <c r="AT14" s="577"/>
      <c r="AU14" s="577"/>
      <c r="AV14" s="577"/>
      <c r="AW14" s="577"/>
      <c r="AX14" s="577"/>
      <c r="AY14" s="577"/>
      <c r="AZ14" s="577"/>
    </row>
    <row r="15" spans="1:52" ht="15.75" customHeight="1" x14ac:dyDescent="0.2">
      <c r="A15" s="1086"/>
      <c r="B15" s="1090" t="s">
        <v>808</v>
      </c>
      <c r="C15" s="1091">
        <v>1.5</v>
      </c>
      <c r="D15" s="1092">
        <v>1.2</v>
      </c>
      <c r="E15" s="1092">
        <v>1.05</v>
      </c>
      <c r="F15" s="1093">
        <v>1</v>
      </c>
      <c r="G15" s="9"/>
      <c r="H15" s="577" t="s">
        <v>40</v>
      </c>
      <c r="I15" s="577" t="s">
        <v>823</v>
      </c>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N15" s="577"/>
      <c r="AO15" s="577"/>
      <c r="AP15" s="577"/>
      <c r="AQ15" s="577"/>
      <c r="AR15" s="577"/>
      <c r="AS15" s="577"/>
      <c r="AT15" s="577"/>
      <c r="AU15" s="577"/>
      <c r="AV15" s="577"/>
      <c r="AW15" s="577"/>
      <c r="AX15" s="577"/>
      <c r="AY15" s="577"/>
      <c r="AZ15" s="577"/>
    </row>
    <row r="16" spans="1:52" ht="15.75" customHeight="1" thickBot="1" x14ac:dyDescent="0.25">
      <c r="A16" s="1086"/>
      <c r="B16" s="601" t="s">
        <v>809</v>
      </c>
      <c r="C16" s="1094">
        <v>1.77</v>
      </c>
      <c r="D16" s="1094">
        <v>1.3</v>
      </c>
      <c r="E16" s="1094">
        <v>1.07</v>
      </c>
      <c r="F16" s="1095">
        <v>1</v>
      </c>
      <c r="G16" s="9"/>
      <c r="H16" s="577"/>
      <c r="I16" s="577" t="s">
        <v>824</v>
      </c>
      <c r="J16" s="577"/>
      <c r="K16" s="577"/>
      <c r="L16" s="577"/>
      <c r="M16" s="577"/>
      <c r="N16" s="577"/>
      <c r="O16" s="577"/>
      <c r="P16" s="577"/>
      <c r="Q16" s="577"/>
      <c r="R16" s="577"/>
      <c r="S16" s="577"/>
      <c r="T16" s="577"/>
      <c r="U16" s="577"/>
      <c r="V16" s="577"/>
      <c r="W16" s="577"/>
      <c r="X16" s="577"/>
      <c r="Y16" s="577"/>
      <c r="Z16" s="577"/>
      <c r="AA16" s="577"/>
      <c r="AB16" s="577"/>
      <c r="AC16" s="577"/>
      <c r="AD16" s="577"/>
      <c r="AE16" s="577"/>
      <c r="AF16" s="577"/>
      <c r="AG16" s="577"/>
      <c r="AH16" s="577"/>
      <c r="AI16" s="577"/>
      <c r="AJ16" s="577"/>
      <c r="AK16" s="577"/>
      <c r="AL16" s="577"/>
      <c r="AM16" s="577"/>
      <c r="AN16" s="577"/>
      <c r="AO16" s="577"/>
      <c r="AP16" s="577"/>
      <c r="AQ16" s="577"/>
      <c r="AR16" s="577"/>
      <c r="AS16" s="577"/>
      <c r="AT16" s="577"/>
      <c r="AU16" s="577"/>
      <c r="AV16" s="577"/>
      <c r="AW16" s="577"/>
      <c r="AX16" s="577"/>
      <c r="AY16" s="577"/>
      <c r="AZ16" s="577"/>
    </row>
    <row r="17" spans="1:52" ht="15.75" customHeight="1" x14ac:dyDescent="0.2">
      <c r="A17" s="1086"/>
      <c r="B17" s="8"/>
      <c r="C17" s="1096"/>
      <c r="D17" s="1096"/>
      <c r="E17" s="1096"/>
      <c r="F17" s="1096"/>
      <c r="G17" s="9"/>
      <c r="H17" s="577"/>
      <c r="I17" s="577"/>
      <c r="J17" s="577"/>
      <c r="K17" s="577"/>
      <c r="L17" s="577"/>
      <c r="M17" s="577"/>
      <c r="N17" s="577"/>
      <c r="O17" s="577"/>
      <c r="P17" s="577"/>
      <c r="Q17" s="577"/>
      <c r="R17" s="577"/>
      <c r="S17" s="577"/>
      <c r="T17" s="577"/>
      <c r="U17" s="577"/>
      <c r="V17" s="577"/>
      <c r="W17" s="577"/>
      <c r="X17" s="577"/>
      <c r="Y17" s="577"/>
      <c r="Z17" s="577"/>
      <c r="AA17" s="577"/>
      <c r="AB17" s="577"/>
      <c r="AC17" s="577"/>
      <c r="AD17" s="577"/>
      <c r="AE17" s="577"/>
      <c r="AF17" s="577"/>
      <c r="AG17" s="577"/>
      <c r="AH17" s="577"/>
      <c r="AI17" s="577"/>
      <c r="AJ17" s="577"/>
      <c r="AK17" s="577"/>
      <c r="AL17" s="577"/>
      <c r="AM17" s="577"/>
      <c r="AN17" s="577"/>
      <c r="AO17" s="577"/>
      <c r="AP17" s="577"/>
      <c r="AQ17" s="577"/>
      <c r="AR17" s="577"/>
      <c r="AS17" s="577"/>
      <c r="AT17" s="577"/>
      <c r="AU17" s="577"/>
      <c r="AV17" s="577"/>
      <c r="AW17" s="577"/>
      <c r="AX17" s="577"/>
      <c r="AY17" s="577"/>
      <c r="AZ17" s="577"/>
    </row>
    <row r="18" spans="1:52" ht="15.75" customHeight="1" x14ac:dyDescent="0.2">
      <c r="A18" s="1086"/>
      <c r="B18" s="816" t="s">
        <v>810</v>
      </c>
      <c r="C18" s="1096"/>
      <c r="D18" s="1096"/>
      <c r="E18" s="1096"/>
      <c r="F18" s="1096"/>
      <c r="G18" s="9"/>
      <c r="H18" s="577"/>
      <c r="I18" s="577"/>
      <c r="J18" s="577"/>
      <c r="K18" s="577"/>
      <c r="L18" s="577"/>
      <c r="M18" s="577"/>
      <c r="N18" s="577"/>
      <c r="O18" s="577"/>
      <c r="P18" s="577"/>
      <c r="Q18" s="577"/>
      <c r="R18" s="577"/>
      <c r="S18" s="577"/>
      <c r="T18" s="577"/>
      <c r="U18" s="577"/>
      <c r="V18" s="577"/>
      <c r="W18" s="577"/>
      <c r="X18" s="577"/>
      <c r="Y18" s="577"/>
      <c r="Z18" s="577"/>
      <c r="AA18" s="577"/>
      <c r="AB18" s="577"/>
      <c r="AC18" s="577"/>
      <c r="AD18" s="577"/>
      <c r="AE18" s="577"/>
      <c r="AF18" s="577"/>
      <c r="AG18" s="577"/>
      <c r="AH18" s="577"/>
      <c r="AI18" s="577"/>
      <c r="AJ18" s="577"/>
      <c r="AK18" s="577"/>
      <c r="AL18" s="577"/>
      <c r="AM18" s="577"/>
      <c r="AN18" s="577"/>
      <c r="AO18" s="577"/>
      <c r="AP18" s="577"/>
      <c r="AQ18" s="577"/>
      <c r="AR18" s="577"/>
      <c r="AS18" s="577"/>
      <c r="AT18" s="577"/>
      <c r="AU18" s="577"/>
      <c r="AV18" s="577"/>
      <c r="AW18" s="577"/>
      <c r="AX18" s="577"/>
      <c r="AY18" s="577"/>
      <c r="AZ18" s="577"/>
    </row>
    <row r="19" spans="1:52" ht="15.75" customHeight="1" x14ac:dyDescent="0.2">
      <c r="A19" s="1086"/>
      <c r="B19" s="816" t="s">
        <v>575</v>
      </c>
      <c r="C19" s="8"/>
      <c r="D19" s="581"/>
      <c r="E19" s="581"/>
      <c r="F19" s="581"/>
      <c r="G19" s="582"/>
      <c r="H19" s="577"/>
      <c r="I19" s="577"/>
      <c r="J19" s="577"/>
      <c r="K19" s="577"/>
      <c r="L19" s="577"/>
      <c r="M19" s="577"/>
      <c r="N19" s="577"/>
      <c r="O19" s="577"/>
      <c r="P19" s="577"/>
      <c r="Q19" s="577"/>
      <c r="R19" s="577"/>
      <c r="S19" s="577"/>
      <c r="T19" s="577"/>
      <c r="U19" s="577"/>
      <c r="V19" s="577"/>
      <c r="W19" s="577"/>
      <c r="X19" s="577"/>
      <c r="Y19" s="577"/>
      <c r="Z19" s="577"/>
      <c r="AA19" s="577"/>
      <c r="AB19" s="577"/>
      <c r="AC19" s="577"/>
      <c r="AD19" s="577"/>
      <c r="AE19" s="577"/>
      <c r="AF19" s="577"/>
      <c r="AG19" s="577"/>
      <c r="AH19" s="577"/>
      <c r="AI19" s="577"/>
      <c r="AJ19" s="577"/>
      <c r="AK19" s="577"/>
      <c r="AL19" s="577"/>
      <c r="AM19" s="577"/>
      <c r="AN19" s="577"/>
      <c r="AO19" s="577"/>
      <c r="AP19" s="577"/>
      <c r="AQ19" s="577"/>
      <c r="AR19" s="577"/>
      <c r="AS19" s="577"/>
      <c r="AT19" s="577"/>
      <c r="AU19" s="577"/>
      <c r="AV19" s="577"/>
      <c r="AW19" s="577"/>
      <c r="AX19" s="577"/>
      <c r="AY19" s="577"/>
      <c r="AZ19" s="577"/>
    </row>
    <row r="20" spans="1:52" ht="15.75" customHeight="1" x14ac:dyDescent="0.2">
      <c r="A20" s="1086"/>
      <c r="B20" s="8"/>
      <c r="C20" s="8"/>
      <c r="D20" s="581"/>
      <c r="E20" s="581"/>
      <c r="F20" s="581"/>
      <c r="G20" s="582"/>
      <c r="H20" s="577"/>
      <c r="I20" s="577"/>
      <c r="J20" s="577"/>
      <c r="K20" s="577"/>
      <c r="L20" s="577"/>
      <c r="M20" s="577"/>
      <c r="N20" s="577"/>
      <c r="O20" s="577"/>
      <c r="P20" s="577"/>
      <c r="Q20" s="577"/>
      <c r="R20" s="577"/>
      <c r="S20" s="577"/>
      <c r="T20" s="577"/>
      <c r="U20" s="577"/>
      <c r="V20" s="577"/>
      <c r="W20" s="577"/>
      <c r="X20" s="577"/>
      <c r="Y20" s="577"/>
      <c r="Z20" s="577"/>
      <c r="AA20" s="577"/>
      <c r="AB20" s="577"/>
      <c r="AC20" s="577"/>
      <c r="AD20" s="577"/>
      <c r="AE20" s="577"/>
      <c r="AF20" s="577"/>
      <c r="AG20" s="577"/>
      <c r="AH20" s="577"/>
      <c r="AI20" s="577"/>
      <c r="AJ20" s="577"/>
      <c r="AK20" s="577"/>
      <c r="AL20" s="577"/>
      <c r="AM20" s="577"/>
      <c r="AN20" s="577"/>
      <c r="AO20" s="577"/>
      <c r="AP20" s="577"/>
      <c r="AQ20" s="577"/>
      <c r="AR20" s="577"/>
      <c r="AS20" s="577"/>
      <c r="AT20" s="577"/>
      <c r="AU20" s="577"/>
      <c r="AV20" s="577"/>
      <c r="AW20" s="577"/>
      <c r="AX20" s="577"/>
      <c r="AY20" s="577"/>
      <c r="AZ20" s="577"/>
    </row>
    <row r="21" spans="1:52" ht="15.75" customHeight="1" x14ac:dyDescent="0.2">
      <c r="A21" s="583">
        <v>1.5</v>
      </c>
      <c r="B21" s="8" t="s">
        <v>19</v>
      </c>
      <c r="C21" s="8"/>
      <c r="D21" s="581"/>
      <c r="E21" s="581"/>
      <c r="F21" s="581"/>
      <c r="G21" s="582"/>
      <c r="H21" s="577"/>
      <c r="I21" s="577"/>
      <c r="J21" s="577"/>
      <c r="K21" s="577"/>
      <c r="L21" s="577"/>
      <c r="M21" s="577"/>
      <c r="N21" s="577"/>
      <c r="O21" s="577"/>
      <c r="P21" s="577"/>
      <c r="Q21" s="577"/>
      <c r="R21" s="577"/>
      <c r="S21" s="577"/>
      <c r="T21" s="577"/>
      <c r="U21" s="577"/>
      <c r="V21" s="577"/>
      <c r="W21" s="577"/>
      <c r="X21" s="577"/>
      <c r="Y21" s="577"/>
      <c r="Z21" s="577"/>
      <c r="AA21" s="577"/>
      <c r="AB21" s="577"/>
      <c r="AC21" s="577"/>
      <c r="AD21" s="577"/>
      <c r="AE21" s="577"/>
      <c r="AF21" s="577"/>
      <c r="AG21" s="577"/>
      <c r="AH21" s="577"/>
      <c r="AI21" s="577"/>
      <c r="AJ21" s="577"/>
      <c r="AK21" s="577"/>
      <c r="AL21" s="577"/>
      <c r="AM21" s="577"/>
      <c r="AN21" s="577"/>
      <c r="AO21" s="577"/>
      <c r="AP21" s="577"/>
      <c r="AQ21" s="577"/>
      <c r="AR21" s="577"/>
      <c r="AS21" s="577"/>
      <c r="AT21" s="577"/>
      <c r="AU21" s="577"/>
      <c r="AV21" s="577"/>
      <c r="AW21" s="577"/>
      <c r="AX21" s="577"/>
      <c r="AY21" s="577"/>
      <c r="AZ21" s="577"/>
    </row>
    <row r="22" spans="1:52" ht="15.75" customHeight="1" x14ac:dyDescent="0.2">
      <c r="A22" s="583"/>
      <c r="B22" s="1097" t="s">
        <v>811</v>
      </c>
      <c r="C22" s="8"/>
      <c r="D22" s="581"/>
      <c r="E22" s="581"/>
      <c r="F22" s="581"/>
      <c r="G22" s="582"/>
      <c r="H22" s="577"/>
      <c r="I22" s="577"/>
      <c r="J22" s="577"/>
      <c r="K22" s="577"/>
      <c r="L22" s="577"/>
      <c r="M22" s="577"/>
      <c r="N22" s="577"/>
      <c r="O22" s="577"/>
      <c r="P22" s="577"/>
      <c r="Q22" s="577"/>
      <c r="R22" s="577"/>
      <c r="S22" s="577"/>
      <c r="T22" s="577"/>
      <c r="U22" s="577"/>
      <c r="V22" s="577"/>
      <c r="W22" s="577"/>
      <c r="X22" s="577"/>
      <c r="Y22" s="577"/>
      <c r="Z22" s="577"/>
      <c r="AA22" s="577"/>
      <c r="AB22" s="577"/>
      <c r="AC22" s="577"/>
      <c r="AD22" s="577"/>
      <c r="AE22" s="577"/>
      <c r="AF22" s="577"/>
      <c r="AG22" s="577"/>
      <c r="AH22" s="577"/>
      <c r="AI22" s="577"/>
      <c r="AJ22" s="577"/>
      <c r="AK22" s="577"/>
      <c r="AL22" s="577"/>
      <c r="AM22" s="577"/>
      <c r="AN22" s="577"/>
      <c r="AO22" s="577"/>
      <c r="AP22" s="577"/>
      <c r="AQ22" s="577"/>
      <c r="AR22" s="577"/>
      <c r="AS22" s="577"/>
      <c r="AT22" s="577"/>
      <c r="AU22" s="577"/>
      <c r="AV22" s="577"/>
      <c r="AW22" s="577"/>
      <c r="AX22" s="577"/>
      <c r="AY22" s="577"/>
      <c r="AZ22" s="577"/>
    </row>
    <row r="23" spans="1:52" ht="15.75" customHeight="1" x14ac:dyDescent="0.2">
      <c r="A23" s="583"/>
      <c r="B23" s="1097" t="s">
        <v>812</v>
      </c>
      <c r="C23" s="8"/>
      <c r="D23" s="581"/>
      <c r="E23" s="581"/>
      <c r="F23" s="581"/>
      <c r="G23" s="582"/>
      <c r="H23" s="577"/>
      <c r="I23" s="577"/>
      <c r="J23" s="577"/>
      <c r="K23" s="577"/>
      <c r="L23" s="577"/>
      <c r="M23" s="577"/>
      <c r="N23" s="577"/>
      <c r="O23" s="577"/>
      <c r="P23" s="577"/>
      <c r="Q23" s="577"/>
      <c r="R23" s="577"/>
      <c r="S23" s="577"/>
      <c r="T23" s="577"/>
      <c r="U23" s="577"/>
      <c r="V23" s="577"/>
      <c r="W23" s="577"/>
      <c r="X23" s="577"/>
      <c r="Y23" s="577"/>
      <c r="Z23" s="577"/>
      <c r="AA23" s="577"/>
      <c r="AB23" s="577"/>
      <c r="AC23" s="577"/>
      <c r="AD23" s="577"/>
      <c r="AE23" s="577"/>
      <c r="AF23" s="577"/>
      <c r="AG23" s="577"/>
      <c r="AH23" s="577"/>
      <c r="AI23" s="577"/>
      <c r="AJ23" s="577"/>
      <c r="AK23" s="577"/>
      <c r="AL23" s="577"/>
      <c r="AM23" s="577"/>
      <c r="AN23" s="577"/>
      <c r="AO23" s="577"/>
      <c r="AP23" s="577"/>
      <c r="AQ23" s="577"/>
      <c r="AR23" s="577"/>
      <c r="AS23" s="577"/>
      <c r="AT23" s="577"/>
      <c r="AU23" s="577"/>
      <c r="AV23" s="577"/>
      <c r="AW23" s="577"/>
      <c r="AX23" s="577"/>
      <c r="AY23" s="577"/>
      <c r="AZ23" s="577"/>
    </row>
    <row r="24" spans="1:52" ht="15.75" customHeight="1" x14ac:dyDescent="0.2">
      <c r="A24" s="583"/>
      <c r="B24" s="1097"/>
      <c r="C24" s="8"/>
      <c r="D24" s="581"/>
      <c r="E24" s="581"/>
      <c r="F24" s="581"/>
      <c r="G24" s="582"/>
      <c r="H24" s="577"/>
      <c r="I24" s="577"/>
      <c r="J24" s="577"/>
      <c r="K24" s="577"/>
      <c r="L24" s="577"/>
      <c r="M24" s="577"/>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c r="AL24" s="577"/>
      <c r="AM24" s="577"/>
      <c r="AN24" s="577"/>
      <c r="AO24" s="577"/>
      <c r="AP24" s="577"/>
      <c r="AQ24" s="577"/>
      <c r="AR24" s="577"/>
      <c r="AS24" s="577"/>
      <c r="AT24" s="577"/>
      <c r="AU24" s="577"/>
      <c r="AV24" s="577"/>
      <c r="AW24" s="577"/>
      <c r="AX24" s="577"/>
      <c r="AY24" s="577"/>
      <c r="AZ24" s="577"/>
    </row>
    <row r="25" spans="1:52" ht="15.75" customHeight="1" x14ac:dyDescent="0.2">
      <c r="A25" s="583">
        <v>0.25</v>
      </c>
      <c r="B25" s="8" t="s">
        <v>21</v>
      </c>
      <c r="C25" s="8"/>
      <c r="D25" s="581"/>
      <c r="E25" s="581"/>
      <c r="F25" s="581"/>
      <c r="G25" s="582"/>
      <c r="H25" s="577"/>
      <c r="I25" s="577"/>
      <c r="J25" s="577"/>
      <c r="K25" s="577"/>
      <c r="L25" s="577"/>
      <c r="M25" s="577"/>
      <c r="N25" s="577"/>
      <c r="O25" s="577"/>
      <c r="P25" s="577"/>
      <c r="Q25" s="577"/>
      <c r="R25" s="577"/>
      <c r="S25" s="577"/>
      <c r="T25" s="577"/>
      <c r="U25" s="577"/>
      <c r="V25" s="577"/>
      <c r="W25" s="577"/>
      <c r="X25" s="577"/>
      <c r="Y25" s="577"/>
      <c r="Z25" s="577"/>
      <c r="AA25" s="577"/>
      <c r="AB25" s="577"/>
      <c r="AC25" s="577"/>
      <c r="AD25" s="577"/>
      <c r="AE25" s="577"/>
      <c r="AF25" s="577"/>
      <c r="AG25" s="577"/>
      <c r="AH25" s="577"/>
      <c r="AI25" s="577"/>
      <c r="AJ25" s="577"/>
      <c r="AK25" s="577"/>
      <c r="AL25" s="577"/>
      <c r="AM25" s="577"/>
      <c r="AN25" s="577"/>
      <c r="AO25" s="577"/>
      <c r="AP25" s="577"/>
      <c r="AQ25" s="577"/>
      <c r="AR25" s="577"/>
      <c r="AS25" s="577"/>
      <c r="AT25" s="577"/>
      <c r="AU25" s="577"/>
      <c r="AV25" s="577"/>
      <c r="AW25" s="577"/>
      <c r="AX25" s="577"/>
      <c r="AY25" s="577"/>
      <c r="AZ25" s="577"/>
    </row>
    <row r="26" spans="1:52" ht="15.75" customHeight="1" x14ac:dyDescent="0.2">
      <c r="A26" s="1086"/>
      <c r="B26" s="8" t="s">
        <v>813</v>
      </c>
      <c r="C26" s="8"/>
      <c r="D26" s="581"/>
      <c r="E26" s="581"/>
      <c r="F26" s="581"/>
      <c r="G26" s="582"/>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row>
    <row r="27" spans="1:52" ht="15.75" customHeight="1" x14ac:dyDescent="0.2">
      <c r="A27" s="1086"/>
      <c r="B27" s="8" t="s">
        <v>814</v>
      </c>
      <c r="C27" s="8"/>
      <c r="D27" s="581"/>
      <c r="E27" s="581"/>
      <c r="F27" s="581"/>
      <c r="G27" s="582"/>
      <c r="H27" s="577"/>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7"/>
      <c r="AF27" s="577"/>
      <c r="AG27" s="577"/>
      <c r="AH27" s="577"/>
      <c r="AI27" s="577"/>
      <c r="AJ27" s="577"/>
      <c r="AK27" s="577"/>
      <c r="AL27" s="577"/>
      <c r="AM27" s="577"/>
      <c r="AN27" s="577"/>
      <c r="AO27" s="577"/>
      <c r="AP27" s="577"/>
      <c r="AQ27" s="577"/>
      <c r="AR27" s="577"/>
      <c r="AS27" s="577"/>
      <c r="AT27" s="577"/>
      <c r="AU27" s="577"/>
      <c r="AV27" s="577"/>
      <c r="AW27" s="577"/>
      <c r="AX27" s="577"/>
      <c r="AY27" s="577"/>
      <c r="AZ27" s="577"/>
    </row>
    <row r="28" spans="1:52" ht="15.75" customHeight="1" thickBot="1" x14ac:dyDescent="0.25">
      <c r="A28" s="1098"/>
      <c r="B28" s="1099"/>
      <c r="C28" s="617"/>
      <c r="D28" s="617"/>
      <c r="E28" s="617"/>
      <c r="F28" s="617"/>
      <c r="G28" s="618"/>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7"/>
      <c r="AO28" s="577"/>
      <c r="AP28" s="577"/>
      <c r="AQ28" s="577"/>
      <c r="AR28" s="577"/>
      <c r="AS28" s="577"/>
      <c r="AT28" s="577"/>
      <c r="AU28" s="577"/>
      <c r="AV28" s="577"/>
      <c r="AW28" s="577"/>
      <c r="AX28" s="577"/>
      <c r="AY28" s="577"/>
      <c r="AZ28" s="577"/>
    </row>
    <row r="29" spans="1:52" ht="15.75" customHeight="1" x14ac:dyDescent="0.2">
      <c r="A29" s="577"/>
      <c r="B29" s="577"/>
      <c r="C29" s="577"/>
      <c r="D29" s="577"/>
      <c r="E29" s="577"/>
      <c r="F29" s="577"/>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c r="AK29" s="577"/>
      <c r="AL29" s="577"/>
      <c r="AM29" s="577"/>
      <c r="AN29" s="577"/>
      <c r="AO29" s="577"/>
      <c r="AP29" s="577"/>
      <c r="AQ29" s="577"/>
      <c r="AR29" s="577"/>
      <c r="AS29" s="577"/>
      <c r="AT29" s="577"/>
      <c r="AU29" s="577"/>
      <c r="AV29" s="577"/>
      <c r="AW29" s="577"/>
      <c r="AX29" s="577"/>
      <c r="AY29" s="577"/>
      <c r="AZ29" s="577"/>
    </row>
    <row r="30" spans="1:52" ht="15.75" customHeight="1" x14ac:dyDescent="0.2">
      <c r="A30" s="577"/>
      <c r="B30" s="577"/>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577"/>
      <c r="AJ30" s="577"/>
      <c r="AK30" s="577"/>
      <c r="AL30" s="577"/>
      <c r="AM30" s="577"/>
      <c r="AN30" s="577"/>
      <c r="AO30" s="577"/>
      <c r="AP30" s="577"/>
      <c r="AQ30" s="577"/>
      <c r="AR30" s="577"/>
      <c r="AS30" s="577"/>
      <c r="AT30" s="577"/>
      <c r="AU30" s="577"/>
      <c r="AV30" s="577"/>
      <c r="AW30" s="577"/>
      <c r="AX30" s="577"/>
      <c r="AY30" s="577"/>
      <c r="AZ30" s="577"/>
    </row>
    <row r="31" spans="1:52" ht="15.75" customHeight="1" x14ac:dyDescent="0.2">
      <c r="A31" s="577"/>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row>
    <row r="32" spans="1:52" ht="15.75" customHeight="1" x14ac:dyDescent="0.2">
      <c r="A32" s="577"/>
      <c r="B32" s="577"/>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577"/>
      <c r="AJ32" s="577"/>
      <c r="AK32" s="577"/>
      <c r="AL32" s="577"/>
      <c r="AM32" s="577"/>
      <c r="AN32" s="577"/>
      <c r="AO32" s="577"/>
      <c r="AP32" s="577"/>
      <c r="AQ32" s="577"/>
      <c r="AR32" s="577"/>
      <c r="AS32" s="577"/>
      <c r="AT32" s="577"/>
      <c r="AU32" s="577"/>
      <c r="AV32" s="577"/>
      <c r="AW32" s="577"/>
      <c r="AX32" s="577"/>
      <c r="AY32" s="577"/>
      <c r="AZ32" s="577"/>
    </row>
    <row r="33" spans="1:52" ht="15.75" customHeight="1" x14ac:dyDescent="0.2">
      <c r="A33" s="577"/>
      <c r="B33" s="577"/>
      <c r="C33" s="577"/>
      <c r="D33" s="577"/>
      <c r="E33" s="577"/>
      <c r="F33" s="577"/>
      <c r="G33" s="577"/>
      <c r="H33" s="577"/>
      <c r="I33" s="577"/>
      <c r="J33" s="577"/>
      <c r="K33" s="577"/>
      <c r="L33" s="577"/>
      <c r="M33" s="577"/>
      <c r="N33" s="577"/>
      <c r="O33" s="577"/>
      <c r="P33" s="577"/>
      <c r="Q33" s="577"/>
      <c r="R33" s="577"/>
      <c r="S33" s="577"/>
      <c r="T33" s="577"/>
      <c r="U33" s="577"/>
      <c r="V33" s="577"/>
      <c r="W33" s="577"/>
      <c r="X33" s="577"/>
      <c r="Y33" s="577"/>
      <c r="Z33" s="577"/>
      <c r="AA33" s="577"/>
      <c r="AB33" s="577"/>
      <c r="AC33" s="577"/>
      <c r="AD33" s="577"/>
      <c r="AE33" s="577"/>
      <c r="AF33" s="577"/>
      <c r="AG33" s="577"/>
      <c r="AH33" s="577"/>
      <c r="AI33" s="577"/>
      <c r="AJ33" s="577"/>
      <c r="AK33" s="577"/>
      <c r="AL33" s="577"/>
      <c r="AM33" s="577"/>
      <c r="AN33" s="577"/>
      <c r="AO33" s="577"/>
      <c r="AP33" s="577"/>
      <c r="AQ33" s="577"/>
      <c r="AR33" s="577"/>
      <c r="AS33" s="577"/>
      <c r="AT33" s="577"/>
      <c r="AU33" s="577"/>
      <c r="AV33" s="577"/>
      <c r="AW33" s="577"/>
      <c r="AX33" s="577"/>
      <c r="AY33" s="577"/>
      <c r="AZ33" s="577"/>
    </row>
    <row r="34" spans="1:52" ht="15.75" customHeight="1" x14ac:dyDescent="0.2">
      <c r="A34" s="577"/>
      <c r="B34" s="577"/>
      <c r="C34" s="577"/>
      <c r="D34" s="577"/>
      <c r="E34" s="577"/>
      <c r="F34" s="577"/>
      <c r="G34" s="577"/>
      <c r="H34" s="577"/>
      <c r="I34" s="577"/>
      <c r="J34" s="577"/>
      <c r="K34" s="577"/>
      <c r="L34" s="577"/>
      <c r="M34" s="577"/>
      <c r="N34" s="577"/>
      <c r="O34" s="577"/>
      <c r="P34" s="577"/>
      <c r="Q34" s="577"/>
      <c r="R34" s="577"/>
      <c r="S34" s="577"/>
      <c r="T34" s="577"/>
      <c r="U34" s="577"/>
      <c r="V34" s="577"/>
      <c r="W34" s="577"/>
      <c r="X34" s="577"/>
      <c r="Y34" s="577"/>
      <c r="Z34" s="577"/>
      <c r="AA34" s="577"/>
      <c r="AB34" s="577"/>
      <c r="AC34" s="577"/>
      <c r="AD34" s="577"/>
      <c r="AE34" s="577"/>
      <c r="AF34" s="577"/>
      <c r="AG34" s="577"/>
      <c r="AH34" s="577"/>
      <c r="AI34" s="577"/>
      <c r="AJ34" s="577"/>
      <c r="AK34" s="577"/>
      <c r="AL34" s="577"/>
      <c r="AM34" s="577"/>
      <c r="AN34" s="577"/>
      <c r="AO34" s="577"/>
      <c r="AP34" s="577"/>
      <c r="AQ34" s="577"/>
      <c r="AR34" s="577"/>
      <c r="AS34" s="577"/>
      <c r="AT34" s="577"/>
      <c r="AU34" s="577"/>
      <c r="AV34" s="577"/>
      <c r="AW34" s="577"/>
      <c r="AX34" s="577"/>
      <c r="AY34" s="577"/>
      <c r="AZ34" s="577"/>
    </row>
    <row r="35" spans="1:52" ht="15.75" customHeight="1" x14ac:dyDescent="0.2">
      <c r="A35" s="577"/>
      <c r="B35" s="577"/>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577"/>
      <c r="AJ35" s="577"/>
      <c r="AK35" s="577"/>
      <c r="AL35" s="577"/>
      <c r="AM35" s="577"/>
      <c r="AN35" s="577"/>
      <c r="AO35" s="577"/>
      <c r="AP35" s="577"/>
      <c r="AQ35" s="577"/>
      <c r="AR35" s="577"/>
      <c r="AS35" s="577"/>
      <c r="AT35" s="577"/>
      <c r="AU35" s="577"/>
      <c r="AV35" s="577"/>
      <c r="AW35" s="577"/>
      <c r="AX35" s="577"/>
      <c r="AY35" s="577"/>
      <c r="AZ35" s="577"/>
    </row>
    <row r="36" spans="1:52" ht="15.75" customHeight="1" x14ac:dyDescent="0.2">
      <c r="A36" s="577"/>
      <c r="B36" s="577"/>
      <c r="C36" s="577"/>
      <c r="D36" s="577"/>
      <c r="E36" s="577"/>
      <c r="F36" s="577"/>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577"/>
      <c r="AJ36" s="577"/>
      <c r="AK36" s="577"/>
      <c r="AL36" s="577"/>
      <c r="AM36" s="577"/>
      <c r="AN36" s="577"/>
      <c r="AO36" s="577"/>
      <c r="AP36" s="577"/>
      <c r="AQ36" s="577"/>
      <c r="AR36" s="577"/>
      <c r="AS36" s="577"/>
      <c r="AT36" s="577"/>
      <c r="AU36" s="577"/>
      <c r="AV36" s="577"/>
      <c r="AW36" s="577"/>
      <c r="AX36" s="577"/>
      <c r="AY36" s="577"/>
      <c r="AZ36" s="577"/>
    </row>
    <row r="37" spans="1:52" ht="15.75" customHeight="1" x14ac:dyDescent="0.2">
      <c r="A37" s="577"/>
      <c r="B37" s="577"/>
      <c r="C37" s="577"/>
      <c r="D37" s="577"/>
      <c r="E37" s="577"/>
      <c r="F37" s="577"/>
      <c r="G37" s="577"/>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577"/>
      <c r="AJ37" s="577"/>
      <c r="AK37" s="577"/>
      <c r="AL37" s="577"/>
      <c r="AM37" s="577"/>
      <c r="AN37" s="577"/>
      <c r="AO37" s="577"/>
      <c r="AP37" s="577"/>
      <c r="AQ37" s="577"/>
      <c r="AR37" s="577"/>
      <c r="AS37" s="577"/>
      <c r="AT37" s="577"/>
      <c r="AU37" s="577"/>
      <c r="AV37" s="577"/>
      <c r="AW37" s="577"/>
      <c r="AX37" s="577"/>
      <c r="AY37" s="577"/>
      <c r="AZ37" s="577"/>
    </row>
    <row r="38" spans="1:52" ht="15.75" customHeight="1" x14ac:dyDescent="0.2">
      <c r="A38" s="577"/>
      <c r="B38" s="577"/>
      <c r="C38" s="577"/>
      <c r="D38" s="577"/>
      <c r="E38" s="577"/>
      <c r="F38" s="577"/>
      <c r="G38" s="577"/>
      <c r="H38" s="577"/>
      <c r="I38" s="577"/>
      <c r="J38" s="577"/>
      <c r="K38" s="577"/>
      <c r="L38" s="57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577"/>
      <c r="AJ38" s="577"/>
      <c r="AK38" s="577"/>
      <c r="AL38" s="577"/>
      <c r="AM38" s="577"/>
      <c r="AN38" s="577"/>
      <c r="AO38" s="577"/>
      <c r="AP38" s="577"/>
      <c r="AQ38" s="577"/>
      <c r="AR38" s="577"/>
      <c r="AS38" s="577"/>
      <c r="AT38" s="577"/>
      <c r="AU38" s="577"/>
      <c r="AV38" s="577"/>
      <c r="AW38" s="577"/>
      <c r="AX38" s="577"/>
      <c r="AY38" s="577"/>
      <c r="AZ38" s="577"/>
    </row>
    <row r="39" spans="1:52" ht="15.75" customHeight="1" x14ac:dyDescent="0.2">
      <c r="A39" s="577"/>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577"/>
      <c r="AJ39" s="577"/>
      <c r="AK39" s="577"/>
      <c r="AL39" s="577"/>
      <c r="AM39" s="577"/>
      <c r="AN39" s="577"/>
      <c r="AO39" s="577"/>
      <c r="AP39" s="577"/>
      <c r="AQ39" s="577"/>
      <c r="AR39" s="577"/>
      <c r="AS39" s="577"/>
      <c r="AT39" s="577"/>
      <c r="AU39" s="577"/>
      <c r="AV39" s="577"/>
      <c r="AW39" s="577"/>
      <c r="AX39" s="577"/>
      <c r="AY39" s="577"/>
      <c r="AZ39" s="577"/>
    </row>
    <row r="40" spans="1:52" ht="15.75" customHeight="1" x14ac:dyDescent="0.2">
      <c r="A40" s="577"/>
      <c r="B40" s="577"/>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577"/>
      <c r="AJ40" s="577"/>
      <c r="AK40" s="577"/>
      <c r="AL40" s="577"/>
      <c r="AM40" s="577"/>
      <c r="AN40" s="577"/>
      <c r="AO40" s="577"/>
      <c r="AP40" s="577"/>
      <c r="AQ40" s="577"/>
      <c r="AR40" s="577"/>
      <c r="AS40" s="577"/>
      <c r="AT40" s="577"/>
      <c r="AU40" s="577"/>
      <c r="AV40" s="577"/>
      <c r="AW40" s="577"/>
      <c r="AX40" s="577"/>
      <c r="AY40" s="577"/>
      <c r="AZ40" s="577"/>
    </row>
    <row r="41" spans="1:52" ht="15.75" customHeight="1" x14ac:dyDescent="0.2">
      <c r="A41" s="577"/>
      <c r="B41" s="577"/>
      <c r="C41" s="577"/>
      <c r="D41" s="577"/>
      <c r="E41" s="577"/>
      <c r="F41" s="577"/>
      <c r="G41" s="577"/>
      <c r="H41" s="577"/>
      <c r="I41" s="577"/>
      <c r="J41" s="577"/>
      <c r="K41" s="577"/>
      <c r="L41" s="577"/>
      <c r="M41" s="577"/>
      <c r="N41" s="577"/>
      <c r="O41" s="577"/>
      <c r="P41" s="577"/>
      <c r="Q41" s="577"/>
      <c r="R41" s="577"/>
      <c r="S41" s="577"/>
      <c r="T41" s="577"/>
      <c r="U41" s="577"/>
      <c r="V41" s="577"/>
      <c r="W41" s="577"/>
      <c r="X41" s="577"/>
      <c r="Y41" s="577"/>
      <c r="Z41" s="577"/>
      <c r="AA41" s="577"/>
      <c r="AB41" s="577"/>
      <c r="AC41" s="577"/>
      <c r="AD41" s="577"/>
      <c r="AE41" s="577"/>
      <c r="AF41" s="577"/>
      <c r="AG41" s="577"/>
      <c r="AH41" s="577"/>
      <c r="AI41" s="577"/>
      <c r="AJ41" s="577"/>
      <c r="AK41" s="577"/>
      <c r="AL41" s="577"/>
      <c r="AM41" s="577"/>
      <c r="AN41" s="577"/>
      <c r="AO41" s="577"/>
      <c r="AP41" s="577"/>
      <c r="AQ41" s="577"/>
      <c r="AR41" s="577"/>
      <c r="AS41" s="577"/>
      <c r="AT41" s="577"/>
      <c r="AU41" s="577"/>
      <c r="AV41" s="577"/>
      <c r="AW41" s="577"/>
      <c r="AX41" s="577"/>
      <c r="AY41" s="577"/>
      <c r="AZ41" s="577"/>
    </row>
    <row r="42" spans="1:52" ht="15.75" customHeight="1" x14ac:dyDescent="0.2">
      <c r="A42" s="577"/>
      <c r="B42" s="577"/>
      <c r="C42" s="577"/>
      <c r="D42" s="577"/>
      <c r="E42" s="577"/>
      <c r="F42" s="577"/>
      <c r="G42" s="577"/>
      <c r="H42" s="577"/>
      <c r="I42" s="577"/>
      <c r="J42" s="577"/>
      <c r="K42" s="577"/>
      <c r="L42" s="577"/>
      <c r="M42" s="577"/>
      <c r="N42" s="577"/>
      <c r="O42" s="577"/>
      <c r="P42" s="577"/>
      <c r="Q42" s="577"/>
      <c r="R42" s="577"/>
      <c r="S42" s="577"/>
      <c r="T42" s="577"/>
      <c r="U42" s="577"/>
      <c r="V42" s="577"/>
      <c r="W42" s="577"/>
      <c r="X42" s="577"/>
      <c r="Y42" s="577"/>
      <c r="Z42" s="577"/>
      <c r="AA42" s="577"/>
      <c r="AB42" s="577"/>
      <c r="AC42" s="577"/>
      <c r="AD42" s="577"/>
      <c r="AE42" s="577"/>
      <c r="AF42" s="577"/>
      <c r="AG42" s="577"/>
      <c r="AH42" s="577"/>
      <c r="AI42" s="577"/>
      <c r="AJ42" s="577"/>
      <c r="AK42" s="577"/>
      <c r="AL42" s="577"/>
      <c r="AM42" s="577"/>
      <c r="AN42" s="577"/>
      <c r="AO42" s="577"/>
      <c r="AP42" s="577"/>
      <c r="AQ42" s="577"/>
      <c r="AR42" s="577"/>
      <c r="AS42" s="577"/>
      <c r="AT42" s="577"/>
      <c r="AU42" s="577"/>
      <c r="AV42" s="577"/>
      <c r="AW42" s="577"/>
      <c r="AX42" s="577"/>
      <c r="AY42" s="577"/>
      <c r="AZ42" s="577"/>
    </row>
    <row r="43" spans="1:52" ht="15.75" customHeight="1" x14ac:dyDescent="0.2">
      <c r="A43" s="577"/>
      <c r="B43" s="577"/>
      <c r="C43" s="577"/>
      <c r="D43" s="577"/>
      <c r="E43" s="577"/>
      <c r="F43" s="577"/>
      <c r="G43" s="577"/>
      <c r="H43" s="577"/>
      <c r="I43" s="577"/>
      <c r="J43" s="577"/>
      <c r="K43" s="577"/>
      <c r="L43" s="577"/>
      <c r="M43" s="577"/>
      <c r="N43" s="577"/>
      <c r="O43" s="577"/>
      <c r="P43" s="577"/>
      <c r="Q43" s="577"/>
      <c r="R43" s="577"/>
      <c r="S43" s="577"/>
      <c r="T43" s="577"/>
      <c r="U43" s="577"/>
      <c r="V43" s="577"/>
      <c r="W43" s="577"/>
      <c r="X43" s="577"/>
      <c r="Y43" s="577"/>
      <c r="Z43" s="577"/>
      <c r="AA43" s="577"/>
      <c r="AB43" s="577"/>
      <c r="AC43" s="577"/>
      <c r="AD43" s="577"/>
      <c r="AE43" s="577"/>
      <c r="AF43" s="577"/>
      <c r="AG43" s="577"/>
      <c r="AH43" s="577"/>
      <c r="AI43" s="577"/>
      <c r="AJ43" s="577"/>
      <c r="AK43" s="577"/>
      <c r="AL43" s="577"/>
      <c r="AM43" s="577"/>
      <c r="AN43" s="577"/>
      <c r="AO43" s="577"/>
      <c r="AP43" s="577"/>
      <c r="AQ43" s="577"/>
      <c r="AR43" s="577"/>
      <c r="AS43" s="577"/>
      <c r="AT43" s="577"/>
      <c r="AU43" s="577"/>
      <c r="AV43" s="577"/>
      <c r="AW43" s="577"/>
      <c r="AX43" s="577"/>
      <c r="AY43" s="577"/>
      <c r="AZ43" s="577"/>
    </row>
    <row r="44" spans="1:52" ht="15.75" customHeight="1" x14ac:dyDescent="0.2">
      <c r="A44" s="577"/>
      <c r="B44" s="577"/>
      <c r="C44" s="577"/>
      <c r="D44" s="577"/>
      <c r="E44" s="577"/>
      <c r="F44" s="577"/>
      <c r="G44" s="577"/>
      <c r="H44" s="577"/>
      <c r="I44" s="577"/>
      <c r="J44" s="577"/>
      <c r="K44" s="577"/>
      <c r="L44" s="577"/>
      <c r="M44" s="577"/>
      <c r="N44" s="577"/>
      <c r="O44" s="577"/>
      <c r="P44" s="577"/>
      <c r="Q44" s="577"/>
      <c r="R44" s="577"/>
      <c r="S44" s="577"/>
      <c r="T44" s="577"/>
      <c r="U44" s="577"/>
      <c r="V44" s="577"/>
      <c r="W44" s="577"/>
      <c r="X44" s="577"/>
      <c r="Y44" s="577"/>
      <c r="Z44" s="577"/>
      <c r="AA44" s="577"/>
      <c r="AB44" s="577"/>
      <c r="AC44" s="577"/>
      <c r="AD44" s="577"/>
      <c r="AE44" s="577"/>
      <c r="AF44" s="577"/>
      <c r="AG44" s="577"/>
      <c r="AH44" s="577"/>
      <c r="AI44" s="577"/>
      <c r="AJ44" s="577"/>
      <c r="AK44" s="577"/>
      <c r="AL44" s="577"/>
      <c r="AM44" s="577"/>
      <c r="AN44" s="577"/>
      <c r="AO44" s="577"/>
      <c r="AP44" s="577"/>
      <c r="AQ44" s="577"/>
      <c r="AR44" s="577"/>
      <c r="AS44" s="577"/>
      <c r="AT44" s="577"/>
      <c r="AU44" s="577"/>
      <c r="AV44" s="577"/>
      <c r="AW44" s="577"/>
      <c r="AX44" s="577"/>
      <c r="AY44" s="577"/>
      <c r="AZ44" s="577"/>
    </row>
    <row r="45" spans="1:52" ht="15.75" customHeight="1" x14ac:dyDescent="0.2">
      <c r="A45" s="577"/>
      <c r="B45" s="577"/>
      <c r="C45" s="577"/>
      <c r="D45" s="577"/>
      <c r="E45" s="577"/>
      <c r="F45" s="577"/>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577"/>
      <c r="AJ45" s="577"/>
      <c r="AK45" s="577"/>
      <c r="AL45" s="577"/>
      <c r="AM45" s="577"/>
      <c r="AN45" s="577"/>
      <c r="AO45" s="577"/>
      <c r="AP45" s="577"/>
      <c r="AQ45" s="577"/>
      <c r="AR45" s="577"/>
      <c r="AS45" s="577"/>
      <c r="AT45" s="577"/>
      <c r="AU45" s="577"/>
      <c r="AV45" s="577"/>
      <c r="AW45" s="577"/>
      <c r="AX45" s="577"/>
      <c r="AY45" s="577"/>
      <c r="AZ45" s="577"/>
    </row>
    <row r="46" spans="1:52" ht="15.75" customHeight="1" x14ac:dyDescent="0.2">
      <c r="A46" s="577"/>
      <c r="B46" s="577"/>
      <c r="C46" s="577"/>
      <c r="D46" s="577"/>
      <c r="E46" s="577"/>
      <c r="F46" s="577"/>
      <c r="G46" s="577"/>
      <c r="H46" s="577"/>
      <c r="I46" s="577"/>
      <c r="J46" s="577"/>
      <c r="K46" s="577"/>
      <c r="L46" s="577"/>
      <c r="M46" s="577"/>
      <c r="N46" s="577"/>
      <c r="O46" s="577"/>
      <c r="P46" s="577"/>
      <c r="Q46" s="577"/>
      <c r="R46" s="577"/>
      <c r="S46" s="577"/>
      <c r="T46" s="577"/>
      <c r="U46" s="577"/>
      <c r="V46" s="577"/>
      <c r="W46" s="577"/>
      <c r="X46" s="577"/>
      <c r="Y46" s="577"/>
      <c r="Z46" s="577"/>
      <c r="AA46" s="577"/>
      <c r="AB46" s="577"/>
      <c r="AC46" s="577"/>
      <c r="AD46" s="577"/>
      <c r="AE46" s="577"/>
      <c r="AF46" s="577"/>
      <c r="AG46" s="577"/>
      <c r="AH46" s="577"/>
      <c r="AI46" s="577"/>
      <c r="AJ46" s="577"/>
      <c r="AK46" s="577"/>
      <c r="AL46" s="577"/>
      <c r="AM46" s="577"/>
      <c r="AN46" s="577"/>
      <c r="AO46" s="577"/>
      <c r="AP46" s="577"/>
      <c r="AQ46" s="577"/>
      <c r="AR46" s="577"/>
      <c r="AS46" s="577"/>
      <c r="AT46" s="577"/>
      <c r="AU46" s="577"/>
      <c r="AV46" s="577"/>
      <c r="AW46" s="577"/>
      <c r="AX46" s="577"/>
      <c r="AY46" s="577"/>
      <c r="AZ46" s="577"/>
    </row>
    <row r="47" spans="1:52" ht="15.75" customHeight="1" x14ac:dyDescent="0.2">
      <c r="A47" s="577"/>
      <c r="B47" s="577"/>
      <c r="C47" s="577"/>
      <c r="D47" s="577"/>
      <c r="E47" s="577"/>
      <c r="F47" s="577"/>
      <c r="G47" s="577"/>
      <c r="H47" s="577"/>
      <c r="I47" s="577"/>
      <c r="J47" s="577"/>
      <c r="K47" s="577"/>
      <c r="L47" s="577"/>
      <c r="M47" s="577"/>
      <c r="N47" s="577"/>
      <c r="O47" s="577"/>
      <c r="P47" s="577"/>
      <c r="Q47" s="577"/>
      <c r="R47" s="577"/>
      <c r="S47" s="577"/>
      <c r="T47" s="577"/>
      <c r="U47" s="577"/>
      <c r="V47" s="577"/>
      <c r="W47" s="577"/>
      <c r="X47" s="577"/>
      <c r="Y47" s="577"/>
      <c r="Z47" s="577"/>
      <c r="AA47" s="577"/>
      <c r="AB47" s="577"/>
      <c r="AC47" s="577"/>
      <c r="AD47" s="577"/>
      <c r="AE47" s="577"/>
      <c r="AF47" s="577"/>
      <c r="AG47" s="577"/>
      <c r="AH47" s="577"/>
      <c r="AI47" s="577"/>
      <c r="AJ47" s="577"/>
      <c r="AK47" s="577"/>
      <c r="AL47" s="577"/>
      <c r="AM47" s="577"/>
      <c r="AN47" s="577"/>
      <c r="AO47" s="577"/>
      <c r="AP47" s="577"/>
      <c r="AQ47" s="577"/>
      <c r="AR47" s="577"/>
      <c r="AS47" s="577"/>
      <c r="AT47" s="577"/>
      <c r="AU47" s="577"/>
      <c r="AV47" s="577"/>
      <c r="AW47" s="577"/>
      <c r="AX47" s="577"/>
      <c r="AY47" s="577"/>
      <c r="AZ47" s="577"/>
    </row>
    <row r="48" spans="1:52" ht="15.75" customHeight="1" x14ac:dyDescent="0.2">
      <c r="A48" s="577"/>
      <c r="B48" s="577"/>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577"/>
      <c r="AJ48" s="577"/>
      <c r="AK48" s="577"/>
      <c r="AL48" s="577"/>
      <c r="AM48" s="577"/>
      <c r="AN48" s="577"/>
      <c r="AO48" s="577"/>
      <c r="AP48" s="577"/>
      <c r="AQ48" s="577"/>
      <c r="AR48" s="577"/>
      <c r="AS48" s="577"/>
      <c r="AT48" s="577"/>
      <c r="AU48" s="577"/>
      <c r="AV48" s="577"/>
      <c r="AW48" s="577"/>
      <c r="AX48" s="577"/>
      <c r="AY48" s="577"/>
      <c r="AZ48" s="577"/>
    </row>
    <row r="49" spans="1:52" ht="15.75" customHeight="1" x14ac:dyDescent="0.2">
      <c r="A49" s="577"/>
      <c r="B49" s="577"/>
      <c r="C49" s="577"/>
      <c r="D49" s="577"/>
      <c r="E49" s="577"/>
      <c r="F49" s="577"/>
      <c r="G49" s="577"/>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577"/>
      <c r="AO49" s="577"/>
      <c r="AP49" s="577"/>
      <c r="AQ49" s="577"/>
      <c r="AR49" s="577"/>
      <c r="AS49" s="577"/>
      <c r="AT49" s="577"/>
      <c r="AU49" s="577"/>
      <c r="AV49" s="577"/>
      <c r="AW49" s="577"/>
      <c r="AX49" s="577"/>
      <c r="AY49" s="577"/>
      <c r="AZ49" s="577"/>
    </row>
    <row r="50" spans="1:52" ht="15.75" customHeight="1" x14ac:dyDescent="0.2">
      <c r="A50" s="577"/>
      <c r="B50" s="577"/>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577"/>
      <c r="AJ50" s="577"/>
      <c r="AK50" s="577"/>
      <c r="AL50" s="577"/>
      <c r="AM50" s="577"/>
      <c r="AN50" s="577"/>
      <c r="AO50" s="577"/>
      <c r="AP50" s="577"/>
      <c r="AQ50" s="577"/>
      <c r="AR50" s="577"/>
      <c r="AS50" s="577"/>
      <c r="AT50" s="577"/>
      <c r="AU50" s="577"/>
      <c r="AV50" s="577"/>
      <c r="AW50" s="577"/>
      <c r="AX50" s="577"/>
      <c r="AY50" s="577"/>
      <c r="AZ50" s="577"/>
    </row>
    <row r="51" spans="1:52" ht="15.75" customHeight="1" x14ac:dyDescent="0.2">
      <c r="A51" s="577"/>
      <c r="B51" s="577"/>
      <c r="C51" s="577"/>
      <c r="D51" s="577"/>
      <c r="E51" s="577"/>
      <c r="F51" s="577"/>
      <c r="G51" s="577"/>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c r="AK51" s="577"/>
      <c r="AL51" s="577"/>
      <c r="AM51" s="577"/>
      <c r="AN51" s="577"/>
      <c r="AO51" s="577"/>
      <c r="AP51" s="577"/>
      <c r="AQ51" s="577"/>
      <c r="AR51" s="577"/>
      <c r="AS51" s="577"/>
      <c r="AT51" s="577"/>
      <c r="AU51" s="577"/>
      <c r="AV51" s="577"/>
      <c r="AW51" s="577"/>
      <c r="AX51" s="577"/>
      <c r="AY51" s="577"/>
      <c r="AZ51" s="577"/>
    </row>
    <row r="52" spans="1:52" ht="15.75" customHeight="1" x14ac:dyDescent="0.2">
      <c r="A52" s="577"/>
      <c r="B52" s="577"/>
      <c r="C52" s="577"/>
      <c r="D52" s="577"/>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c r="AK52" s="577"/>
      <c r="AL52" s="577"/>
      <c r="AM52" s="577"/>
      <c r="AN52" s="577"/>
      <c r="AO52" s="577"/>
      <c r="AP52" s="577"/>
      <c r="AQ52" s="577"/>
      <c r="AR52" s="577"/>
      <c r="AS52" s="577"/>
      <c r="AT52" s="577"/>
      <c r="AU52" s="577"/>
      <c r="AV52" s="577"/>
      <c r="AW52" s="577"/>
      <c r="AX52" s="577"/>
      <c r="AY52" s="577"/>
      <c r="AZ52" s="577"/>
    </row>
    <row r="53" spans="1:52" ht="15.75" customHeight="1" x14ac:dyDescent="0.2">
      <c r="A53" s="577"/>
      <c r="B53" s="577"/>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577"/>
      <c r="AO53" s="577"/>
      <c r="AP53" s="577"/>
      <c r="AQ53" s="577"/>
      <c r="AR53" s="577"/>
      <c r="AS53" s="577"/>
      <c r="AT53" s="577"/>
      <c r="AU53" s="577"/>
      <c r="AV53" s="577"/>
      <c r="AW53" s="577"/>
      <c r="AX53" s="577"/>
      <c r="AY53" s="577"/>
      <c r="AZ53" s="577"/>
    </row>
    <row r="54" spans="1:52" ht="15.75" customHeight="1" x14ac:dyDescent="0.2">
      <c r="A54" s="577"/>
      <c r="B54" s="577"/>
      <c r="C54" s="577"/>
      <c r="D54" s="577"/>
      <c r="E54" s="577"/>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577"/>
      <c r="AO54" s="577"/>
      <c r="AP54" s="577"/>
      <c r="AQ54" s="577"/>
      <c r="AR54" s="577"/>
      <c r="AS54" s="577"/>
      <c r="AT54" s="577"/>
      <c r="AU54" s="577"/>
      <c r="AV54" s="577"/>
      <c r="AW54" s="577"/>
      <c r="AX54" s="577"/>
      <c r="AY54" s="577"/>
      <c r="AZ54" s="577"/>
    </row>
    <row r="55" spans="1:52" ht="15.75" customHeight="1" x14ac:dyDescent="0.2">
      <c r="A55" s="577"/>
      <c r="B55" s="577"/>
      <c r="C55" s="577"/>
      <c r="D55" s="577"/>
      <c r="E55" s="577"/>
      <c r="F55" s="577"/>
      <c r="G55" s="577"/>
      <c r="H55" s="577"/>
      <c r="I55" s="577"/>
      <c r="J55" s="577"/>
      <c r="K55" s="577"/>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c r="AO55" s="577"/>
      <c r="AP55" s="577"/>
      <c r="AQ55" s="577"/>
      <c r="AR55" s="577"/>
      <c r="AS55" s="577"/>
      <c r="AT55" s="577"/>
      <c r="AU55" s="577"/>
      <c r="AV55" s="577"/>
      <c r="AW55" s="577"/>
      <c r="AX55" s="577"/>
      <c r="AY55" s="577"/>
      <c r="AZ55" s="577"/>
    </row>
    <row r="56" spans="1:52" ht="15.75" customHeight="1" x14ac:dyDescent="0.2">
      <c r="A56" s="577"/>
      <c r="B56" s="577"/>
      <c r="C56" s="577"/>
      <c r="D56" s="577"/>
      <c r="E56" s="577"/>
      <c r="F56" s="577"/>
      <c r="G56" s="577"/>
      <c r="H56" s="577"/>
      <c r="I56" s="577"/>
      <c r="J56" s="577"/>
      <c r="K56" s="577"/>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c r="AO56" s="577"/>
      <c r="AP56" s="577"/>
      <c r="AQ56" s="577"/>
      <c r="AR56" s="577"/>
      <c r="AS56" s="577"/>
      <c r="AT56" s="577"/>
      <c r="AU56" s="577"/>
      <c r="AV56" s="577"/>
      <c r="AW56" s="577"/>
      <c r="AX56" s="577"/>
      <c r="AY56" s="577"/>
      <c r="AZ56" s="577"/>
    </row>
    <row r="57" spans="1:52" ht="15.75" customHeight="1" x14ac:dyDescent="0.2">
      <c r="A57" s="577"/>
      <c r="B57" s="577"/>
      <c r="C57" s="577"/>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c r="AO57" s="577"/>
      <c r="AP57" s="577"/>
      <c r="AQ57" s="577"/>
      <c r="AR57" s="577"/>
      <c r="AS57" s="577"/>
      <c r="AT57" s="577"/>
      <c r="AU57" s="577"/>
      <c r="AV57" s="577"/>
      <c r="AW57" s="577"/>
      <c r="AX57" s="577"/>
      <c r="AY57" s="577"/>
      <c r="AZ57" s="577"/>
    </row>
    <row r="58" spans="1:52" ht="15.75" customHeight="1" x14ac:dyDescent="0.2">
      <c r="A58" s="577"/>
      <c r="B58" s="577"/>
      <c r="C58" s="577"/>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c r="AO58" s="577"/>
      <c r="AP58" s="577"/>
      <c r="AQ58" s="577"/>
      <c r="AR58" s="577"/>
      <c r="AS58" s="577"/>
      <c r="AT58" s="577"/>
      <c r="AU58" s="577"/>
      <c r="AV58" s="577"/>
      <c r="AW58" s="577"/>
      <c r="AX58" s="577"/>
      <c r="AY58" s="577"/>
      <c r="AZ58" s="577"/>
    </row>
    <row r="59" spans="1:52" ht="15.75" customHeight="1" x14ac:dyDescent="0.2">
      <c r="A59" s="577"/>
      <c r="B59" s="577"/>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c r="AO59" s="577"/>
      <c r="AP59" s="577"/>
      <c r="AQ59" s="577"/>
      <c r="AR59" s="577"/>
      <c r="AS59" s="577"/>
      <c r="AT59" s="577"/>
      <c r="AU59" s="577"/>
      <c r="AV59" s="577"/>
      <c r="AW59" s="577"/>
      <c r="AX59" s="577"/>
      <c r="AY59" s="577"/>
      <c r="AZ59" s="577"/>
    </row>
    <row r="60" spans="1:52" ht="15.75" customHeight="1" x14ac:dyDescent="0.2">
      <c r="A60" s="577"/>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7"/>
      <c r="AY60" s="577"/>
      <c r="AZ60" s="577"/>
    </row>
    <row r="61" spans="1:52" ht="15.75" customHeight="1" x14ac:dyDescent="0.2">
      <c r="A61" s="577"/>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7"/>
      <c r="AY61" s="577"/>
      <c r="AZ61" s="577"/>
    </row>
    <row r="62" spans="1:52" ht="15.75" customHeight="1" x14ac:dyDescent="0.2">
      <c r="A62" s="577"/>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7"/>
      <c r="AY62" s="577"/>
      <c r="AZ62" s="577"/>
    </row>
    <row r="63" spans="1:52" ht="15.75" customHeight="1" x14ac:dyDescent="0.2">
      <c r="A63" s="577"/>
      <c r="B63" s="577"/>
      <c r="C63" s="577"/>
      <c r="D63" s="577"/>
      <c r="E63" s="577"/>
      <c r="F63" s="577"/>
      <c r="G63" s="577"/>
      <c r="H63" s="577"/>
      <c r="I63" s="577"/>
      <c r="J63" s="577"/>
      <c r="K63" s="577"/>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c r="AO63" s="577"/>
      <c r="AP63" s="577"/>
      <c r="AQ63" s="577"/>
      <c r="AR63" s="577"/>
      <c r="AS63" s="577"/>
      <c r="AT63" s="577"/>
      <c r="AU63" s="577"/>
      <c r="AV63" s="577"/>
      <c r="AW63" s="577"/>
      <c r="AX63" s="577"/>
      <c r="AY63" s="577"/>
      <c r="AZ63" s="577"/>
    </row>
    <row r="64" spans="1:52" ht="15.75" customHeight="1" x14ac:dyDescent="0.2">
      <c r="A64" s="577"/>
      <c r="B64" s="577"/>
      <c r="C64" s="577"/>
      <c r="D64" s="577"/>
      <c r="E64" s="577"/>
      <c r="F64" s="577"/>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c r="AO64" s="577"/>
      <c r="AP64" s="577"/>
      <c r="AQ64" s="577"/>
      <c r="AR64" s="577"/>
      <c r="AS64" s="577"/>
      <c r="AT64" s="577"/>
      <c r="AU64" s="577"/>
      <c r="AV64" s="577"/>
      <c r="AW64" s="577"/>
      <c r="AX64" s="577"/>
      <c r="AY64" s="577"/>
      <c r="AZ64" s="577"/>
    </row>
    <row r="65" spans="1:52" ht="15.75" customHeight="1" x14ac:dyDescent="0.2">
      <c r="A65" s="577"/>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c r="AO65" s="577"/>
      <c r="AP65" s="577"/>
      <c r="AQ65" s="577"/>
      <c r="AR65" s="577"/>
      <c r="AS65" s="577"/>
      <c r="AT65" s="577"/>
      <c r="AU65" s="577"/>
      <c r="AV65" s="577"/>
      <c r="AW65" s="577"/>
      <c r="AX65" s="577"/>
      <c r="AY65" s="577"/>
      <c r="AZ65" s="577"/>
    </row>
    <row r="66" spans="1:52" ht="15.75" customHeight="1" x14ac:dyDescent="0.2">
      <c r="A66" s="577"/>
      <c r="B66" s="577"/>
      <c r="C66" s="577"/>
      <c r="D66" s="577"/>
      <c r="E66" s="577"/>
      <c r="F66" s="577"/>
      <c r="G66" s="577"/>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c r="AO66" s="577"/>
      <c r="AP66" s="577"/>
      <c r="AQ66" s="577"/>
      <c r="AR66" s="577"/>
      <c r="AS66" s="577"/>
      <c r="AT66" s="577"/>
      <c r="AU66" s="577"/>
      <c r="AV66" s="577"/>
      <c r="AW66" s="577"/>
      <c r="AX66" s="577"/>
      <c r="AY66" s="577"/>
      <c r="AZ66" s="577"/>
    </row>
    <row r="67" spans="1:52" ht="15.75" customHeight="1" x14ac:dyDescent="0.2">
      <c r="A67" s="577"/>
      <c r="B67" s="577"/>
      <c r="C67" s="577"/>
      <c r="D67" s="577"/>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c r="AO67" s="577"/>
      <c r="AP67" s="577"/>
      <c r="AQ67" s="577"/>
      <c r="AR67" s="577"/>
      <c r="AS67" s="577"/>
      <c r="AT67" s="577"/>
      <c r="AU67" s="577"/>
      <c r="AV67" s="577"/>
      <c r="AW67" s="577"/>
      <c r="AX67" s="577"/>
      <c r="AY67" s="577"/>
      <c r="AZ67" s="577"/>
    </row>
    <row r="68" spans="1:52" ht="15.75" customHeight="1" x14ac:dyDescent="0.2">
      <c r="A68" s="577"/>
      <c r="B68" s="577"/>
      <c r="C68" s="577"/>
      <c r="D68" s="577"/>
      <c r="E68" s="577"/>
      <c r="F68" s="577"/>
      <c r="G68" s="577"/>
      <c r="H68" s="577"/>
      <c r="I68" s="577"/>
      <c r="J68" s="577"/>
      <c r="K68" s="577"/>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c r="AS68" s="577"/>
      <c r="AT68" s="577"/>
      <c r="AU68" s="577"/>
      <c r="AV68" s="577"/>
      <c r="AW68" s="577"/>
      <c r="AX68" s="577"/>
      <c r="AY68" s="577"/>
      <c r="AZ68" s="577"/>
    </row>
    <row r="69" spans="1:52" ht="15.75" customHeight="1" x14ac:dyDescent="0.2">
      <c r="A69" s="577"/>
      <c r="B69" s="577"/>
      <c r="C69" s="577"/>
      <c r="D69" s="577"/>
      <c r="E69" s="577"/>
      <c r="F69" s="577"/>
      <c r="G69" s="577"/>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c r="AO69" s="577"/>
      <c r="AP69" s="577"/>
      <c r="AQ69" s="577"/>
      <c r="AR69" s="577"/>
      <c r="AS69" s="577"/>
      <c r="AT69" s="577"/>
      <c r="AU69" s="577"/>
      <c r="AV69" s="577"/>
      <c r="AW69" s="577"/>
      <c r="AX69" s="577"/>
      <c r="AY69" s="577"/>
      <c r="AZ69" s="577"/>
    </row>
    <row r="70" spans="1:52" ht="15.75" customHeight="1" x14ac:dyDescent="0.2">
      <c r="A70" s="577"/>
      <c r="B70" s="577"/>
      <c r="C70" s="577"/>
      <c r="D70" s="577"/>
      <c r="E70" s="577"/>
      <c r="F70" s="577"/>
      <c r="G70" s="577"/>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c r="AS70" s="577"/>
      <c r="AT70" s="577"/>
      <c r="AU70" s="577"/>
      <c r="AV70" s="577"/>
      <c r="AW70" s="577"/>
      <c r="AX70" s="577"/>
      <c r="AY70" s="577"/>
      <c r="AZ70" s="577"/>
    </row>
    <row r="71" spans="1:52" ht="15.75" customHeight="1" x14ac:dyDescent="0.2">
      <c r="A71" s="577"/>
      <c r="B71" s="577"/>
      <c r="C71" s="577"/>
      <c r="D71" s="577"/>
      <c r="E71" s="577"/>
      <c r="F71" s="577"/>
      <c r="G71" s="577"/>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c r="AO71" s="577"/>
      <c r="AP71" s="577"/>
      <c r="AQ71" s="577"/>
      <c r="AR71" s="577"/>
      <c r="AS71" s="577"/>
      <c r="AT71" s="577"/>
      <c r="AU71" s="577"/>
      <c r="AV71" s="577"/>
      <c r="AW71" s="577"/>
      <c r="AX71" s="577"/>
      <c r="AY71" s="577"/>
      <c r="AZ71" s="577"/>
    </row>
    <row r="72" spans="1:52" ht="15.75" customHeight="1" x14ac:dyDescent="0.2">
      <c r="A72" s="577"/>
      <c r="B72" s="577"/>
      <c r="C72" s="577"/>
      <c r="D72" s="577"/>
      <c r="E72" s="577"/>
      <c r="F72" s="577"/>
      <c r="G72" s="577"/>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c r="AO72" s="577"/>
      <c r="AP72" s="577"/>
      <c r="AQ72" s="577"/>
      <c r="AR72" s="577"/>
      <c r="AS72" s="577"/>
      <c r="AT72" s="577"/>
      <c r="AU72" s="577"/>
      <c r="AV72" s="577"/>
      <c r="AW72" s="577"/>
      <c r="AX72" s="577"/>
      <c r="AY72" s="577"/>
      <c r="AZ72" s="577"/>
    </row>
    <row r="73" spans="1:52" ht="15.75" customHeight="1" x14ac:dyDescent="0.2">
      <c r="A73" s="577"/>
      <c r="B73" s="577"/>
      <c r="C73" s="577"/>
      <c r="D73" s="577"/>
      <c r="E73" s="577"/>
      <c r="F73" s="577"/>
      <c r="G73" s="577"/>
      <c r="H73" s="577"/>
      <c r="I73" s="577"/>
      <c r="J73" s="577"/>
      <c r="K73" s="577"/>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c r="AO73" s="577"/>
      <c r="AP73" s="577"/>
      <c r="AQ73" s="577"/>
      <c r="AR73" s="577"/>
      <c r="AS73" s="577"/>
      <c r="AT73" s="577"/>
      <c r="AU73" s="577"/>
      <c r="AV73" s="577"/>
      <c r="AW73" s="577"/>
      <c r="AX73" s="577"/>
      <c r="AY73" s="577"/>
      <c r="AZ73" s="577"/>
    </row>
    <row r="74" spans="1:52" ht="15.75" customHeight="1" x14ac:dyDescent="0.2">
      <c r="A74" s="577"/>
      <c r="B74" s="577"/>
      <c r="C74" s="577"/>
      <c r="D74" s="577"/>
      <c r="E74" s="577"/>
      <c r="F74" s="577"/>
      <c r="G74" s="577"/>
      <c r="H74" s="577"/>
      <c r="I74" s="577"/>
      <c r="J74" s="577"/>
      <c r="K74" s="577"/>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c r="AO74" s="577"/>
      <c r="AP74" s="577"/>
      <c r="AQ74" s="577"/>
      <c r="AR74" s="577"/>
      <c r="AS74" s="577"/>
      <c r="AT74" s="577"/>
      <c r="AU74" s="577"/>
      <c r="AV74" s="577"/>
      <c r="AW74" s="577"/>
      <c r="AX74" s="577"/>
      <c r="AY74" s="577"/>
      <c r="AZ74" s="577"/>
    </row>
    <row r="75" spans="1:52" ht="15.75" customHeight="1" x14ac:dyDescent="0.2">
      <c r="A75" s="577"/>
      <c r="B75" s="577"/>
      <c r="C75" s="577"/>
      <c r="D75" s="577"/>
      <c r="E75" s="577"/>
      <c r="F75" s="577"/>
      <c r="G75" s="577"/>
      <c r="H75" s="577"/>
      <c r="I75" s="577"/>
      <c r="J75" s="577"/>
      <c r="K75" s="577"/>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c r="AO75" s="577"/>
      <c r="AP75" s="577"/>
      <c r="AQ75" s="577"/>
      <c r="AR75" s="577"/>
      <c r="AS75" s="577"/>
      <c r="AT75" s="577"/>
      <c r="AU75" s="577"/>
      <c r="AV75" s="577"/>
      <c r="AW75" s="577"/>
      <c r="AX75" s="577"/>
      <c r="AY75" s="577"/>
      <c r="AZ75" s="577"/>
    </row>
    <row r="76" spans="1:52" ht="15.75" customHeight="1" x14ac:dyDescent="0.2">
      <c r="A76" s="577"/>
      <c r="B76" s="577"/>
      <c r="C76" s="577"/>
      <c r="D76" s="577"/>
      <c r="E76" s="577"/>
      <c r="F76" s="577"/>
      <c r="G76" s="577"/>
      <c r="H76" s="577"/>
      <c r="I76" s="577"/>
      <c r="J76" s="577"/>
      <c r="K76" s="577"/>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c r="AO76" s="577"/>
      <c r="AP76" s="577"/>
      <c r="AQ76" s="577"/>
      <c r="AR76" s="577"/>
      <c r="AS76" s="577"/>
      <c r="AT76" s="577"/>
      <c r="AU76" s="577"/>
      <c r="AV76" s="577"/>
      <c r="AW76" s="577"/>
      <c r="AX76" s="577"/>
      <c r="AY76" s="577"/>
      <c r="AZ76" s="577"/>
    </row>
    <row r="77" spans="1:52" ht="15.75" customHeight="1" x14ac:dyDescent="0.2">
      <c r="A77" s="577"/>
      <c r="B77" s="577"/>
      <c r="C77" s="577"/>
      <c r="D77" s="577"/>
      <c r="E77" s="577"/>
      <c r="F77" s="577"/>
      <c r="G77" s="577"/>
      <c r="H77" s="577"/>
      <c r="I77" s="577"/>
      <c r="J77" s="577"/>
      <c r="K77" s="577"/>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77"/>
      <c r="AL77" s="577"/>
      <c r="AM77" s="577"/>
      <c r="AN77" s="577"/>
      <c r="AO77" s="577"/>
      <c r="AP77" s="577"/>
      <c r="AQ77" s="577"/>
      <c r="AR77" s="577"/>
      <c r="AS77" s="577"/>
      <c r="AT77" s="577"/>
      <c r="AU77" s="577"/>
      <c r="AV77" s="577"/>
      <c r="AW77" s="577"/>
      <c r="AX77" s="577"/>
      <c r="AY77" s="577"/>
      <c r="AZ77" s="577"/>
    </row>
    <row r="78" spans="1:52" ht="15.75" customHeight="1" x14ac:dyDescent="0.2">
      <c r="A78" s="577"/>
      <c r="B78" s="577"/>
      <c r="C78" s="577"/>
      <c r="D78" s="577"/>
      <c r="E78" s="577"/>
      <c r="F78" s="577"/>
      <c r="G78" s="577"/>
      <c r="H78" s="577"/>
      <c r="I78" s="577"/>
      <c r="J78" s="577"/>
      <c r="K78" s="577"/>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c r="AO78" s="577"/>
      <c r="AP78" s="577"/>
      <c r="AQ78" s="577"/>
      <c r="AR78" s="577"/>
      <c r="AS78" s="577"/>
      <c r="AT78" s="577"/>
      <c r="AU78" s="577"/>
      <c r="AV78" s="577"/>
      <c r="AW78" s="577"/>
      <c r="AX78" s="577"/>
      <c r="AY78" s="577"/>
      <c r="AZ78" s="577"/>
    </row>
    <row r="79" spans="1:52" ht="15.75" customHeight="1" x14ac:dyDescent="0.2">
      <c r="A79" s="577"/>
      <c r="B79" s="577"/>
      <c r="C79" s="577"/>
      <c r="D79" s="577"/>
      <c r="E79" s="577"/>
      <c r="F79" s="577"/>
      <c r="G79" s="577"/>
      <c r="H79" s="577"/>
      <c r="I79" s="577"/>
      <c r="J79" s="577"/>
      <c r="K79" s="577"/>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c r="AO79" s="577"/>
      <c r="AP79" s="577"/>
      <c r="AQ79" s="577"/>
      <c r="AR79" s="577"/>
      <c r="AS79" s="577"/>
      <c r="AT79" s="577"/>
      <c r="AU79" s="577"/>
      <c r="AV79" s="577"/>
      <c r="AW79" s="577"/>
      <c r="AX79" s="577"/>
      <c r="AY79" s="577"/>
      <c r="AZ79" s="577"/>
    </row>
    <row r="80" spans="1:52" ht="15.75" customHeight="1" x14ac:dyDescent="0.2">
      <c r="A80" s="577"/>
      <c r="B80" s="577"/>
      <c r="C80" s="577"/>
      <c r="D80" s="577"/>
      <c r="E80" s="577"/>
      <c r="F80" s="577"/>
      <c r="G80" s="577"/>
      <c r="H80" s="577"/>
      <c r="I80" s="577"/>
      <c r="J80" s="577"/>
      <c r="K80" s="577"/>
      <c r="L80" s="577"/>
      <c r="M80" s="577"/>
      <c r="N80" s="577"/>
      <c r="O80" s="577"/>
      <c r="P80" s="577"/>
      <c r="Q80" s="577"/>
      <c r="R80" s="577"/>
      <c r="S80" s="577"/>
      <c r="T80" s="577"/>
      <c r="U80" s="577"/>
      <c r="V80" s="577"/>
      <c r="W80" s="577"/>
      <c r="X80" s="577"/>
      <c r="Y80" s="577"/>
      <c r="Z80" s="577"/>
      <c r="AA80" s="577"/>
      <c r="AB80" s="577"/>
      <c r="AC80" s="577"/>
      <c r="AD80" s="577"/>
      <c r="AE80" s="577"/>
      <c r="AF80" s="577"/>
      <c r="AG80" s="577"/>
      <c r="AH80" s="577"/>
      <c r="AI80" s="577"/>
      <c r="AJ80" s="577"/>
      <c r="AK80" s="577"/>
      <c r="AL80" s="577"/>
      <c r="AM80" s="577"/>
      <c r="AN80" s="577"/>
      <c r="AO80" s="577"/>
      <c r="AP80" s="577"/>
      <c r="AQ80" s="577"/>
      <c r="AR80" s="577"/>
      <c r="AS80" s="577"/>
      <c r="AT80" s="577"/>
      <c r="AU80" s="577"/>
      <c r="AV80" s="577"/>
      <c r="AW80" s="577"/>
      <c r="AX80" s="577"/>
      <c r="AY80" s="577"/>
      <c r="AZ80" s="577"/>
    </row>
    <row r="81" spans="1:52" ht="15.75" customHeight="1" x14ac:dyDescent="0.2">
      <c r="A81" s="577"/>
      <c r="B81" s="577"/>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7"/>
      <c r="AY81" s="577"/>
      <c r="AZ81" s="577"/>
    </row>
    <row r="82" spans="1:52" ht="15.75" customHeight="1" x14ac:dyDescent="0.2">
      <c r="A82" s="577"/>
      <c r="B82" s="577"/>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c r="AO82" s="577"/>
      <c r="AP82" s="577"/>
      <c r="AQ82" s="577"/>
      <c r="AR82" s="577"/>
      <c r="AS82" s="577"/>
      <c r="AT82" s="577"/>
      <c r="AU82" s="577"/>
      <c r="AV82" s="577"/>
      <c r="AW82" s="577"/>
      <c r="AX82" s="577"/>
      <c r="AY82" s="577"/>
      <c r="AZ82" s="577"/>
    </row>
    <row r="83" spans="1:52" ht="15.75" customHeight="1" x14ac:dyDescent="0.2">
      <c r="A83" s="577"/>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c r="AO83" s="577"/>
      <c r="AP83" s="577"/>
      <c r="AQ83" s="577"/>
      <c r="AR83" s="577"/>
      <c r="AS83" s="577"/>
      <c r="AT83" s="577"/>
      <c r="AU83" s="577"/>
      <c r="AV83" s="577"/>
      <c r="AW83" s="577"/>
      <c r="AX83" s="577"/>
      <c r="AY83" s="577"/>
      <c r="AZ83" s="577"/>
    </row>
    <row r="84" spans="1:52" ht="15.75" customHeight="1" x14ac:dyDescent="0.2">
      <c r="A84" s="577"/>
      <c r="B84" s="577"/>
      <c r="C84" s="577"/>
      <c r="D84" s="577"/>
      <c r="E84" s="577"/>
      <c r="F84" s="577"/>
      <c r="G84" s="577"/>
      <c r="H84" s="577"/>
      <c r="I84" s="577"/>
      <c r="J84" s="577"/>
      <c r="K84" s="577"/>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c r="AO84" s="577"/>
      <c r="AP84" s="577"/>
      <c r="AQ84" s="577"/>
      <c r="AR84" s="577"/>
      <c r="AS84" s="577"/>
      <c r="AT84" s="577"/>
      <c r="AU84" s="577"/>
      <c r="AV84" s="577"/>
      <c r="AW84" s="577"/>
      <c r="AX84" s="577"/>
      <c r="AY84" s="577"/>
      <c r="AZ84" s="577"/>
    </row>
    <row r="85" spans="1:52" ht="15.75" customHeight="1" x14ac:dyDescent="0.2">
      <c r="A85" s="577"/>
      <c r="B85" s="577"/>
      <c r="C85" s="577"/>
      <c r="D85" s="577"/>
      <c r="E85" s="577"/>
      <c r="F85" s="577"/>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c r="AO85" s="577"/>
      <c r="AP85" s="577"/>
      <c r="AQ85" s="577"/>
      <c r="AR85" s="577"/>
      <c r="AS85" s="577"/>
      <c r="AT85" s="577"/>
      <c r="AU85" s="577"/>
      <c r="AV85" s="577"/>
      <c r="AW85" s="577"/>
      <c r="AX85" s="577"/>
      <c r="AY85" s="577"/>
      <c r="AZ85" s="577"/>
    </row>
    <row r="86" spans="1:52" ht="15.75" customHeight="1" x14ac:dyDescent="0.2">
      <c r="A86" s="577"/>
      <c r="B86" s="577"/>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577"/>
      <c r="AY86" s="577"/>
      <c r="AZ86" s="577"/>
    </row>
    <row r="87" spans="1:52" ht="15.75" customHeight="1" x14ac:dyDescent="0.2">
      <c r="A87" s="577"/>
      <c r="B87" s="577"/>
      <c r="C87" s="577"/>
      <c r="D87" s="577"/>
      <c r="E87" s="577"/>
      <c r="F87" s="577"/>
      <c r="G87" s="577"/>
      <c r="H87" s="577"/>
      <c r="I87" s="577"/>
      <c r="J87" s="577"/>
      <c r="K87" s="577"/>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c r="AO87" s="577"/>
      <c r="AP87" s="577"/>
      <c r="AQ87" s="577"/>
      <c r="AR87" s="577"/>
      <c r="AS87" s="577"/>
      <c r="AT87" s="577"/>
      <c r="AU87" s="577"/>
      <c r="AV87" s="577"/>
      <c r="AW87" s="577"/>
      <c r="AX87" s="577"/>
      <c r="AY87" s="577"/>
      <c r="AZ87" s="577"/>
    </row>
    <row r="88" spans="1:52" ht="15.75" customHeight="1" x14ac:dyDescent="0.2">
      <c r="A88" s="577"/>
      <c r="B88" s="577"/>
      <c r="C88" s="577"/>
      <c r="D88" s="577"/>
      <c r="E88" s="577"/>
      <c r="F88" s="577"/>
      <c r="G88" s="577"/>
      <c r="H88" s="577"/>
      <c r="I88" s="577"/>
      <c r="J88" s="577"/>
      <c r="K88" s="577"/>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c r="AO88" s="577"/>
      <c r="AP88" s="577"/>
      <c r="AQ88" s="577"/>
      <c r="AR88" s="577"/>
      <c r="AS88" s="577"/>
      <c r="AT88" s="577"/>
      <c r="AU88" s="577"/>
      <c r="AV88" s="577"/>
      <c r="AW88" s="577"/>
      <c r="AX88" s="577"/>
      <c r="AY88" s="577"/>
      <c r="AZ88" s="577"/>
    </row>
    <row r="89" spans="1:52" ht="15.75" customHeight="1" x14ac:dyDescent="0.2">
      <c r="A89" s="577"/>
      <c r="B89" s="577"/>
      <c r="C89" s="577"/>
      <c r="D89" s="577"/>
      <c r="E89" s="577"/>
      <c r="F89" s="577"/>
      <c r="G89" s="577"/>
      <c r="H89" s="577"/>
      <c r="I89" s="577"/>
      <c r="J89" s="577"/>
      <c r="K89" s="577"/>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c r="AO89" s="577"/>
      <c r="AP89" s="577"/>
      <c r="AQ89" s="577"/>
      <c r="AR89" s="577"/>
      <c r="AS89" s="577"/>
      <c r="AT89" s="577"/>
      <c r="AU89" s="577"/>
      <c r="AV89" s="577"/>
      <c r="AW89" s="577"/>
      <c r="AX89" s="577"/>
      <c r="AY89" s="577"/>
      <c r="AZ89" s="577"/>
    </row>
    <row r="90" spans="1:52" ht="15.75" customHeight="1" x14ac:dyDescent="0.2">
      <c r="A90" s="577"/>
      <c r="B90" s="577"/>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c r="AO90" s="577"/>
      <c r="AP90" s="577"/>
      <c r="AQ90" s="577"/>
      <c r="AR90" s="577"/>
      <c r="AS90" s="577"/>
      <c r="AT90" s="577"/>
      <c r="AU90" s="577"/>
      <c r="AV90" s="577"/>
      <c r="AW90" s="577"/>
      <c r="AX90" s="577"/>
      <c r="AY90" s="577"/>
      <c r="AZ90" s="577"/>
    </row>
    <row r="91" spans="1:52" ht="15.75" customHeight="1" x14ac:dyDescent="0.2">
      <c r="A91" s="577"/>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c r="AO91" s="577"/>
      <c r="AP91" s="577"/>
      <c r="AQ91" s="577"/>
      <c r="AR91" s="577"/>
      <c r="AS91" s="577"/>
      <c r="AT91" s="577"/>
      <c r="AU91" s="577"/>
      <c r="AV91" s="577"/>
      <c r="AW91" s="577"/>
      <c r="AX91" s="577"/>
      <c r="AY91" s="577"/>
      <c r="AZ91" s="577"/>
    </row>
    <row r="92" spans="1:52" ht="15.75" customHeight="1" x14ac:dyDescent="0.2">
      <c r="A92" s="577"/>
      <c r="B92" s="577"/>
      <c r="C92" s="577"/>
      <c r="D92" s="577"/>
      <c r="E92" s="577"/>
      <c r="F92" s="577"/>
      <c r="G92" s="577"/>
      <c r="H92" s="577"/>
      <c r="I92" s="577"/>
      <c r="J92" s="577"/>
      <c r="K92" s="577"/>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c r="AO92" s="577"/>
      <c r="AP92" s="577"/>
      <c r="AQ92" s="577"/>
      <c r="AR92" s="577"/>
      <c r="AS92" s="577"/>
      <c r="AT92" s="577"/>
      <c r="AU92" s="577"/>
      <c r="AV92" s="577"/>
      <c r="AW92" s="577"/>
      <c r="AX92" s="577"/>
      <c r="AY92" s="577"/>
      <c r="AZ92" s="577"/>
    </row>
    <row r="93" spans="1:52" ht="15.75" customHeight="1" x14ac:dyDescent="0.2">
      <c r="A93" s="577"/>
      <c r="B93" s="577"/>
      <c r="C93" s="577"/>
      <c r="D93" s="577"/>
      <c r="E93" s="577"/>
      <c r="F93" s="577"/>
      <c r="G93" s="577"/>
      <c r="H93" s="577"/>
      <c r="I93" s="577"/>
      <c r="J93" s="577"/>
      <c r="K93" s="577"/>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c r="AO93" s="577"/>
      <c r="AP93" s="577"/>
      <c r="AQ93" s="577"/>
      <c r="AR93" s="577"/>
      <c r="AS93" s="577"/>
      <c r="AT93" s="577"/>
      <c r="AU93" s="577"/>
      <c r="AV93" s="577"/>
      <c r="AW93" s="577"/>
      <c r="AX93" s="577"/>
      <c r="AY93" s="577"/>
      <c r="AZ93" s="577"/>
    </row>
    <row r="94" spans="1:52" ht="15.75" customHeight="1" x14ac:dyDescent="0.2">
      <c r="A94" s="577"/>
      <c r="B94" s="577"/>
      <c r="C94" s="577"/>
      <c r="D94" s="577"/>
      <c r="E94" s="577"/>
      <c r="F94" s="577"/>
      <c r="G94" s="577"/>
      <c r="H94" s="577"/>
      <c r="I94" s="577"/>
      <c r="J94" s="577"/>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c r="AO94" s="577"/>
      <c r="AP94" s="577"/>
      <c r="AQ94" s="577"/>
      <c r="AR94" s="577"/>
      <c r="AS94" s="577"/>
      <c r="AT94" s="577"/>
      <c r="AU94" s="577"/>
      <c r="AV94" s="577"/>
      <c r="AW94" s="577"/>
      <c r="AX94" s="577"/>
      <c r="AY94" s="577"/>
      <c r="AZ94" s="577"/>
    </row>
    <row r="95" spans="1:52" ht="15.75" customHeight="1" x14ac:dyDescent="0.2">
      <c r="A95" s="577"/>
      <c r="B95" s="577"/>
      <c r="C95" s="577"/>
      <c r="D95" s="577"/>
      <c r="E95" s="577"/>
      <c r="F95" s="577"/>
      <c r="G95" s="577"/>
      <c r="H95" s="577"/>
      <c r="I95" s="577"/>
      <c r="J95" s="577"/>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c r="AO95" s="577"/>
      <c r="AP95" s="577"/>
      <c r="AQ95" s="577"/>
      <c r="AR95" s="577"/>
      <c r="AS95" s="577"/>
      <c r="AT95" s="577"/>
      <c r="AU95" s="577"/>
      <c r="AV95" s="577"/>
      <c r="AW95" s="577"/>
      <c r="AX95" s="577"/>
      <c r="AY95" s="577"/>
      <c r="AZ95" s="577"/>
    </row>
    <row r="96" spans="1:52" ht="15.75" customHeight="1" x14ac:dyDescent="0.2">
      <c r="A96" s="577"/>
      <c r="B96" s="577"/>
      <c r="C96" s="577"/>
      <c r="D96" s="577"/>
      <c r="E96" s="577"/>
      <c r="F96" s="577"/>
      <c r="G96" s="577"/>
      <c r="H96" s="577"/>
      <c r="I96" s="577"/>
      <c r="J96" s="577"/>
      <c r="K96" s="577"/>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c r="AO96" s="577"/>
      <c r="AP96" s="577"/>
      <c r="AQ96" s="577"/>
      <c r="AR96" s="577"/>
      <c r="AS96" s="577"/>
      <c r="AT96" s="577"/>
      <c r="AU96" s="577"/>
      <c r="AV96" s="577"/>
      <c r="AW96" s="577"/>
      <c r="AX96" s="577"/>
      <c r="AY96" s="577"/>
      <c r="AZ96" s="577"/>
    </row>
    <row r="97" spans="1:52" ht="15.75" customHeight="1" x14ac:dyDescent="0.2">
      <c r="A97" s="577"/>
      <c r="B97" s="577"/>
      <c r="C97" s="577"/>
      <c r="D97" s="577"/>
      <c r="E97" s="577"/>
      <c r="F97" s="577"/>
      <c r="G97" s="577"/>
      <c r="H97" s="577"/>
      <c r="I97" s="577"/>
      <c r="J97" s="577"/>
      <c r="K97" s="577"/>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c r="AO97" s="577"/>
      <c r="AP97" s="577"/>
      <c r="AQ97" s="577"/>
      <c r="AR97" s="577"/>
      <c r="AS97" s="577"/>
      <c r="AT97" s="577"/>
      <c r="AU97" s="577"/>
      <c r="AV97" s="577"/>
      <c r="AW97" s="577"/>
      <c r="AX97" s="577"/>
      <c r="AY97" s="577"/>
      <c r="AZ97" s="577"/>
    </row>
    <row r="98" spans="1:52" ht="15.75" customHeight="1" x14ac:dyDescent="0.2">
      <c r="A98" s="577"/>
      <c r="B98" s="577"/>
      <c r="C98" s="577"/>
      <c r="D98" s="577"/>
      <c r="E98" s="577"/>
      <c r="F98" s="577"/>
      <c r="G98" s="577"/>
      <c r="H98" s="577"/>
      <c r="I98" s="577"/>
      <c r="J98" s="577"/>
      <c r="K98" s="577"/>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c r="AO98" s="577"/>
      <c r="AP98" s="577"/>
      <c r="AQ98" s="577"/>
      <c r="AR98" s="577"/>
      <c r="AS98" s="577"/>
      <c r="AT98" s="577"/>
      <c r="AU98" s="577"/>
      <c r="AV98" s="577"/>
      <c r="AW98" s="577"/>
      <c r="AX98" s="577"/>
      <c r="AY98" s="577"/>
      <c r="AZ98" s="577"/>
    </row>
    <row r="99" spans="1:52" ht="15.75" customHeight="1" x14ac:dyDescent="0.2">
      <c r="A99" s="577"/>
      <c r="B99" s="577"/>
      <c r="C99" s="577"/>
      <c r="D99" s="577"/>
      <c r="E99" s="577"/>
      <c r="F99" s="577"/>
      <c r="G99" s="577"/>
      <c r="H99" s="577"/>
      <c r="I99" s="577"/>
      <c r="J99" s="577"/>
      <c r="K99" s="577"/>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c r="AO99" s="577"/>
      <c r="AP99" s="577"/>
      <c r="AQ99" s="577"/>
      <c r="AR99" s="577"/>
      <c r="AS99" s="577"/>
      <c r="AT99" s="577"/>
      <c r="AU99" s="577"/>
      <c r="AV99" s="577"/>
      <c r="AW99" s="577"/>
      <c r="AX99" s="577"/>
      <c r="AY99" s="577"/>
      <c r="AZ99" s="577"/>
    </row>
    <row r="100" spans="1:52" ht="15.75" customHeight="1" x14ac:dyDescent="0.2">
      <c r="A100" s="577"/>
      <c r="B100" s="577"/>
      <c r="C100" s="577"/>
      <c r="D100" s="577"/>
      <c r="E100" s="577"/>
      <c r="F100" s="577"/>
      <c r="G100" s="577"/>
      <c r="H100" s="577"/>
      <c r="I100" s="577"/>
      <c r="J100" s="577"/>
      <c r="K100" s="577"/>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c r="AO100" s="577"/>
      <c r="AP100" s="577"/>
      <c r="AQ100" s="577"/>
      <c r="AR100" s="577"/>
      <c r="AS100" s="577"/>
      <c r="AT100" s="577"/>
      <c r="AU100" s="577"/>
      <c r="AV100" s="577"/>
      <c r="AW100" s="577"/>
      <c r="AX100" s="577"/>
      <c r="AY100" s="577"/>
      <c r="AZ100" s="577"/>
    </row>
    <row r="101" spans="1:52" ht="15.75" customHeight="1" x14ac:dyDescent="0.2">
      <c r="A101" s="577"/>
      <c r="B101" s="577"/>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c r="AO101" s="577"/>
      <c r="AP101" s="577"/>
      <c r="AQ101" s="577"/>
      <c r="AR101" s="577"/>
      <c r="AS101" s="577"/>
      <c r="AT101" s="577"/>
      <c r="AU101" s="577"/>
      <c r="AV101" s="577"/>
      <c r="AW101" s="577"/>
      <c r="AX101" s="577"/>
      <c r="AY101" s="577"/>
      <c r="AZ101" s="577"/>
    </row>
    <row r="102" spans="1:52" ht="15.75" customHeight="1" x14ac:dyDescent="0.2">
      <c r="A102" s="577"/>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c r="AO102" s="577"/>
      <c r="AP102" s="577"/>
      <c r="AQ102" s="577"/>
      <c r="AR102" s="577"/>
      <c r="AS102" s="577"/>
      <c r="AT102" s="577"/>
      <c r="AU102" s="577"/>
      <c r="AV102" s="577"/>
      <c r="AW102" s="577"/>
      <c r="AX102" s="577"/>
      <c r="AY102" s="577"/>
      <c r="AZ102" s="577"/>
    </row>
    <row r="103" spans="1:52" ht="15.75" customHeight="1" x14ac:dyDescent="0.2">
      <c r="A103" s="577"/>
      <c r="B103" s="577"/>
      <c r="C103" s="577"/>
      <c r="D103" s="577"/>
      <c r="E103" s="577"/>
      <c r="F103" s="577"/>
      <c r="G103" s="577"/>
      <c r="H103" s="577"/>
      <c r="I103" s="577"/>
      <c r="J103" s="577"/>
      <c r="K103" s="577"/>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c r="AO103" s="577"/>
      <c r="AP103" s="577"/>
      <c r="AQ103" s="577"/>
      <c r="AR103" s="577"/>
      <c r="AS103" s="577"/>
      <c r="AT103" s="577"/>
      <c r="AU103" s="577"/>
      <c r="AV103" s="577"/>
      <c r="AW103" s="577"/>
      <c r="AX103" s="577"/>
      <c r="AY103" s="577"/>
      <c r="AZ103" s="577"/>
    </row>
    <row r="104" spans="1:52" ht="15.75" customHeight="1" x14ac:dyDescent="0.2">
      <c r="A104" s="577"/>
      <c r="B104" s="577"/>
      <c r="C104" s="577"/>
      <c r="D104" s="577"/>
      <c r="E104" s="577"/>
      <c r="F104" s="577"/>
      <c r="G104" s="577"/>
      <c r="H104" s="577"/>
      <c r="I104" s="577"/>
      <c r="J104" s="577"/>
      <c r="K104" s="577"/>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c r="AO104" s="577"/>
      <c r="AP104" s="577"/>
      <c r="AQ104" s="577"/>
      <c r="AR104" s="577"/>
      <c r="AS104" s="577"/>
      <c r="AT104" s="577"/>
      <c r="AU104" s="577"/>
      <c r="AV104" s="577"/>
      <c r="AW104" s="577"/>
      <c r="AX104" s="577"/>
      <c r="AY104" s="577"/>
      <c r="AZ104" s="577"/>
    </row>
    <row r="105" spans="1:52" ht="15.75" customHeight="1" x14ac:dyDescent="0.2">
      <c r="A105" s="577"/>
      <c r="B105" s="577"/>
      <c r="C105" s="577"/>
      <c r="D105" s="577"/>
      <c r="E105" s="577"/>
      <c r="F105" s="577"/>
      <c r="G105" s="577"/>
      <c r="H105" s="577"/>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row>
    <row r="106" spans="1:52" ht="15.75" customHeight="1" x14ac:dyDescent="0.2">
      <c r="A106" s="577"/>
      <c r="B106" s="577"/>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577"/>
      <c r="AY106" s="577"/>
      <c r="AZ106" s="577"/>
    </row>
    <row r="107" spans="1:52" ht="15.75" customHeight="1" x14ac:dyDescent="0.2">
      <c r="A107" s="577"/>
      <c r="B107" s="577"/>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c r="AO107" s="577"/>
      <c r="AP107" s="577"/>
      <c r="AQ107" s="577"/>
      <c r="AR107" s="577"/>
      <c r="AS107" s="577"/>
      <c r="AT107" s="577"/>
      <c r="AU107" s="577"/>
      <c r="AV107" s="577"/>
      <c r="AW107" s="577"/>
      <c r="AX107" s="577"/>
      <c r="AY107" s="577"/>
      <c r="AZ107" s="577"/>
    </row>
    <row r="108" spans="1:52" ht="15.75" customHeight="1" x14ac:dyDescent="0.2">
      <c r="A108" s="577"/>
      <c r="B108" s="577"/>
      <c r="C108" s="577"/>
      <c r="D108" s="577"/>
      <c r="E108" s="577"/>
      <c r="F108" s="577"/>
      <c r="G108" s="577"/>
      <c r="H108" s="577"/>
      <c r="I108" s="577"/>
      <c r="J108" s="577"/>
      <c r="K108" s="577"/>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c r="AS108" s="577"/>
      <c r="AT108" s="577"/>
      <c r="AU108" s="577"/>
      <c r="AV108" s="577"/>
      <c r="AW108" s="577"/>
      <c r="AX108" s="577"/>
      <c r="AY108" s="577"/>
      <c r="AZ108" s="577"/>
    </row>
    <row r="109" spans="1:52" ht="15.75" customHeight="1" x14ac:dyDescent="0.2">
      <c r="A109" s="577"/>
      <c r="B109" s="577"/>
      <c r="C109" s="577"/>
      <c r="D109" s="577"/>
      <c r="E109" s="577"/>
      <c r="F109" s="577"/>
      <c r="G109" s="577"/>
      <c r="H109" s="577"/>
      <c r="I109" s="577"/>
      <c r="J109" s="577"/>
      <c r="K109" s="577"/>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c r="AO109" s="577"/>
      <c r="AP109" s="577"/>
      <c r="AQ109" s="577"/>
      <c r="AR109" s="577"/>
      <c r="AS109" s="577"/>
      <c r="AT109" s="577"/>
      <c r="AU109" s="577"/>
      <c r="AV109" s="577"/>
      <c r="AW109" s="577"/>
      <c r="AX109" s="577"/>
      <c r="AY109" s="577"/>
      <c r="AZ109" s="577"/>
    </row>
    <row r="110" spans="1:52" ht="15.75" customHeight="1" x14ac:dyDescent="0.2">
      <c r="A110" s="577"/>
      <c r="B110" s="577"/>
      <c r="C110" s="577"/>
      <c r="D110" s="577"/>
      <c r="E110" s="577"/>
      <c r="F110" s="577"/>
      <c r="G110" s="577"/>
      <c r="H110" s="577"/>
      <c r="I110" s="577"/>
      <c r="J110" s="577"/>
      <c r="K110" s="577"/>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c r="AO110" s="577"/>
      <c r="AP110" s="577"/>
      <c r="AQ110" s="577"/>
      <c r="AR110" s="577"/>
      <c r="AS110" s="577"/>
      <c r="AT110" s="577"/>
      <c r="AU110" s="577"/>
      <c r="AV110" s="577"/>
      <c r="AW110" s="577"/>
      <c r="AX110" s="577"/>
      <c r="AY110" s="577"/>
      <c r="AZ110" s="577"/>
    </row>
    <row r="111" spans="1:52" ht="15.75" customHeight="1" x14ac:dyDescent="0.2">
      <c r="A111" s="577"/>
      <c r="B111" s="577"/>
      <c r="C111" s="577"/>
      <c r="D111" s="577"/>
      <c r="E111" s="577"/>
      <c r="F111" s="577"/>
      <c r="G111" s="577"/>
      <c r="H111" s="577"/>
      <c r="I111" s="577"/>
      <c r="J111" s="577"/>
      <c r="K111" s="577"/>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c r="AO111" s="577"/>
      <c r="AP111" s="577"/>
      <c r="AQ111" s="577"/>
      <c r="AR111" s="577"/>
      <c r="AS111" s="577"/>
      <c r="AT111" s="577"/>
      <c r="AU111" s="577"/>
      <c r="AV111" s="577"/>
      <c r="AW111" s="577"/>
      <c r="AX111" s="577"/>
      <c r="AY111" s="577"/>
      <c r="AZ111" s="577"/>
    </row>
    <row r="112" spans="1:52" ht="15.75" customHeight="1" x14ac:dyDescent="0.2">
      <c r="A112" s="577"/>
      <c r="B112" s="577"/>
      <c r="C112" s="577"/>
      <c r="D112" s="577"/>
      <c r="E112" s="577"/>
      <c r="F112" s="577"/>
      <c r="G112" s="577"/>
      <c r="H112" s="577"/>
      <c r="I112" s="577"/>
      <c r="J112" s="577"/>
      <c r="K112" s="577"/>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c r="AO112" s="577"/>
      <c r="AP112" s="577"/>
      <c r="AQ112" s="577"/>
      <c r="AR112" s="577"/>
      <c r="AS112" s="577"/>
      <c r="AT112" s="577"/>
      <c r="AU112" s="577"/>
      <c r="AV112" s="577"/>
      <c r="AW112" s="577"/>
      <c r="AX112" s="577"/>
      <c r="AY112" s="577"/>
      <c r="AZ112" s="577"/>
    </row>
    <row r="113" spans="1:52" ht="15.75" customHeight="1" x14ac:dyDescent="0.2">
      <c r="A113" s="577"/>
      <c r="B113" s="577"/>
      <c r="C113" s="577"/>
      <c r="D113" s="577"/>
      <c r="E113" s="577"/>
      <c r="F113" s="577"/>
      <c r="G113" s="577"/>
      <c r="H113" s="577"/>
      <c r="I113" s="577"/>
      <c r="J113" s="577"/>
      <c r="K113" s="577"/>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c r="AO113" s="577"/>
      <c r="AP113" s="577"/>
      <c r="AQ113" s="577"/>
      <c r="AR113" s="577"/>
      <c r="AS113" s="577"/>
      <c r="AT113" s="577"/>
      <c r="AU113" s="577"/>
      <c r="AV113" s="577"/>
      <c r="AW113" s="577"/>
      <c r="AX113" s="577"/>
      <c r="AY113" s="577"/>
      <c r="AZ113" s="577"/>
    </row>
    <row r="114" spans="1:52" ht="15.75" customHeight="1" x14ac:dyDescent="0.2">
      <c r="A114" s="577"/>
      <c r="B114" s="577"/>
      <c r="C114" s="577"/>
      <c r="D114" s="577"/>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c r="AO114" s="577"/>
      <c r="AP114" s="577"/>
      <c r="AQ114" s="577"/>
      <c r="AR114" s="577"/>
      <c r="AS114" s="577"/>
      <c r="AT114" s="577"/>
      <c r="AU114" s="577"/>
      <c r="AV114" s="577"/>
      <c r="AW114" s="577"/>
      <c r="AX114" s="577"/>
      <c r="AY114" s="577"/>
      <c r="AZ114" s="577"/>
    </row>
    <row r="115" spans="1:52" ht="15.75" customHeight="1" x14ac:dyDescent="0.2">
      <c r="A115" s="577"/>
      <c r="B115" s="577"/>
      <c r="C115" s="577"/>
      <c r="D115" s="577"/>
      <c r="E115" s="577"/>
      <c r="F115" s="577"/>
      <c r="G115" s="577"/>
      <c r="H115" s="577"/>
      <c r="I115" s="577"/>
      <c r="J115" s="577"/>
      <c r="K115" s="577"/>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c r="AO115" s="577"/>
      <c r="AP115" s="577"/>
      <c r="AQ115" s="577"/>
      <c r="AR115" s="577"/>
      <c r="AS115" s="577"/>
      <c r="AT115" s="577"/>
      <c r="AU115" s="577"/>
      <c r="AV115" s="577"/>
      <c r="AW115" s="577"/>
      <c r="AX115" s="577"/>
      <c r="AY115" s="577"/>
      <c r="AZ115" s="577"/>
    </row>
    <row r="116" spans="1:52" ht="15.75" customHeight="1" x14ac:dyDescent="0.2">
      <c r="A116" s="577"/>
      <c r="B116" s="577"/>
      <c r="C116" s="577"/>
      <c r="D116" s="577"/>
      <c r="E116" s="577"/>
      <c r="F116" s="577"/>
      <c r="G116" s="577"/>
      <c r="H116" s="577"/>
      <c r="I116" s="577"/>
      <c r="J116" s="577"/>
      <c r="K116" s="577"/>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c r="AO116" s="577"/>
      <c r="AP116" s="577"/>
      <c r="AQ116" s="577"/>
      <c r="AR116" s="577"/>
      <c r="AS116" s="577"/>
      <c r="AT116" s="577"/>
      <c r="AU116" s="577"/>
      <c r="AV116" s="577"/>
      <c r="AW116" s="577"/>
      <c r="AX116" s="577"/>
      <c r="AY116" s="577"/>
      <c r="AZ116" s="577"/>
    </row>
    <row r="117" spans="1:52" ht="15.75" customHeight="1" x14ac:dyDescent="0.2">
      <c r="A117" s="577"/>
      <c r="B117" s="577"/>
      <c r="C117" s="577"/>
      <c r="D117" s="577"/>
      <c r="E117" s="577"/>
      <c r="F117" s="577"/>
      <c r="G117" s="577"/>
      <c r="H117" s="577"/>
      <c r="I117" s="577"/>
      <c r="J117" s="577"/>
      <c r="K117" s="577"/>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c r="AO117" s="577"/>
      <c r="AP117" s="577"/>
      <c r="AQ117" s="577"/>
      <c r="AR117" s="577"/>
      <c r="AS117" s="577"/>
      <c r="AT117" s="577"/>
      <c r="AU117" s="577"/>
      <c r="AV117" s="577"/>
      <c r="AW117" s="577"/>
      <c r="AX117" s="577"/>
      <c r="AY117" s="577"/>
      <c r="AZ117" s="577"/>
    </row>
    <row r="118" spans="1:52" ht="15.75" customHeight="1" x14ac:dyDescent="0.2">
      <c r="A118" s="577"/>
      <c r="B118" s="577"/>
      <c r="C118" s="577"/>
      <c r="D118" s="577"/>
      <c r="E118" s="577"/>
      <c r="F118" s="577"/>
      <c r="G118" s="577"/>
      <c r="H118" s="577"/>
      <c r="I118" s="577"/>
      <c r="J118" s="577"/>
      <c r="K118" s="577"/>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c r="AO118" s="577"/>
      <c r="AP118" s="577"/>
      <c r="AQ118" s="577"/>
      <c r="AR118" s="577"/>
      <c r="AS118" s="577"/>
      <c r="AT118" s="577"/>
      <c r="AU118" s="577"/>
      <c r="AV118" s="577"/>
      <c r="AW118" s="577"/>
      <c r="AX118" s="577"/>
      <c r="AY118" s="577"/>
      <c r="AZ118" s="577"/>
    </row>
    <row r="119" spans="1:52" ht="15.75" customHeight="1" x14ac:dyDescent="0.2">
      <c r="A119" s="577"/>
      <c r="B119" s="577"/>
      <c r="C119" s="577"/>
      <c r="D119" s="577"/>
      <c r="E119" s="577"/>
      <c r="F119" s="577"/>
      <c r="G119" s="577"/>
      <c r="H119" s="577"/>
      <c r="I119" s="577"/>
      <c r="J119" s="577"/>
      <c r="K119" s="577"/>
      <c r="L119" s="577"/>
      <c r="M119" s="577"/>
      <c r="N119" s="577"/>
      <c r="O119" s="577"/>
      <c r="P119" s="577"/>
      <c r="Q119" s="577"/>
      <c r="R119" s="577"/>
      <c r="S119" s="577"/>
      <c r="T119" s="577"/>
      <c r="U119" s="577"/>
      <c r="V119" s="577"/>
      <c r="W119" s="577"/>
      <c r="X119" s="577"/>
      <c r="Y119" s="577"/>
      <c r="Z119" s="577"/>
      <c r="AA119" s="577"/>
      <c r="AB119" s="577"/>
      <c r="AC119" s="577"/>
      <c r="AD119" s="577"/>
      <c r="AE119" s="577"/>
      <c r="AF119" s="577"/>
      <c r="AG119" s="577"/>
      <c r="AH119" s="577"/>
      <c r="AI119" s="577"/>
      <c r="AJ119" s="577"/>
      <c r="AK119" s="577"/>
      <c r="AL119" s="577"/>
      <c r="AM119" s="577"/>
      <c r="AN119" s="577"/>
      <c r="AO119" s="577"/>
      <c r="AP119" s="577"/>
      <c r="AQ119" s="577"/>
      <c r="AR119" s="577"/>
      <c r="AS119" s="577"/>
      <c r="AT119" s="577"/>
      <c r="AU119" s="577"/>
      <c r="AV119" s="577"/>
      <c r="AW119" s="577"/>
      <c r="AX119" s="577"/>
      <c r="AY119" s="577"/>
      <c r="AZ119" s="577"/>
    </row>
    <row r="120" spans="1:52" ht="15.75" customHeight="1" x14ac:dyDescent="0.2">
      <c r="A120" s="577"/>
      <c r="B120" s="577"/>
      <c r="C120" s="577"/>
      <c r="D120" s="577"/>
      <c r="E120" s="577"/>
      <c r="F120" s="577"/>
      <c r="G120" s="577"/>
      <c r="H120" s="577"/>
      <c r="I120" s="577"/>
      <c r="J120" s="577"/>
      <c r="K120" s="577"/>
      <c r="L120" s="577"/>
      <c r="M120" s="577"/>
      <c r="N120" s="577"/>
      <c r="O120" s="577"/>
      <c r="P120" s="577"/>
      <c r="Q120" s="577"/>
      <c r="R120" s="577"/>
      <c r="S120" s="577"/>
      <c r="T120" s="577"/>
      <c r="U120" s="577"/>
      <c r="V120" s="577"/>
      <c r="W120" s="577"/>
      <c r="X120" s="577"/>
      <c r="Y120" s="577"/>
      <c r="Z120" s="577"/>
      <c r="AA120" s="577"/>
      <c r="AB120" s="577"/>
      <c r="AC120" s="577"/>
      <c r="AD120" s="577"/>
      <c r="AE120" s="577"/>
      <c r="AF120" s="577"/>
      <c r="AG120" s="577"/>
      <c r="AH120" s="577"/>
      <c r="AI120" s="577"/>
      <c r="AJ120" s="577"/>
      <c r="AK120" s="577"/>
      <c r="AL120" s="577"/>
      <c r="AM120" s="577"/>
      <c r="AN120" s="577"/>
      <c r="AO120" s="577"/>
      <c r="AP120" s="577"/>
      <c r="AQ120" s="577"/>
      <c r="AR120" s="577"/>
      <c r="AS120" s="577"/>
      <c r="AT120" s="577"/>
      <c r="AU120" s="577"/>
      <c r="AV120" s="577"/>
      <c r="AW120" s="577"/>
      <c r="AX120" s="577"/>
      <c r="AY120" s="577"/>
      <c r="AZ120" s="577"/>
    </row>
    <row r="121" spans="1:52" ht="15.75" customHeight="1" x14ac:dyDescent="0.2">
      <c r="A121" s="577"/>
      <c r="B121" s="577"/>
      <c r="C121" s="577"/>
      <c r="D121" s="577"/>
      <c r="E121" s="577"/>
      <c r="F121" s="577"/>
      <c r="G121" s="577"/>
      <c r="H121" s="577"/>
      <c r="I121" s="577"/>
      <c r="J121" s="577"/>
      <c r="K121" s="577"/>
      <c r="L121" s="577"/>
      <c r="M121" s="577"/>
      <c r="N121" s="577"/>
      <c r="O121" s="577"/>
      <c r="P121" s="577"/>
      <c r="Q121" s="577"/>
      <c r="R121" s="577"/>
      <c r="S121" s="577"/>
      <c r="T121" s="577"/>
      <c r="U121" s="577"/>
      <c r="V121" s="577"/>
      <c r="W121" s="577"/>
      <c r="X121" s="577"/>
      <c r="Y121" s="577"/>
      <c r="Z121" s="577"/>
      <c r="AA121" s="577"/>
      <c r="AB121" s="577"/>
      <c r="AC121" s="577"/>
      <c r="AD121" s="577"/>
      <c r="AE121" s="577"/>
      <c r="AF121" s="577"/>
      <c r="AG121" s="577"/>
      <c r="AH121" s="577"/>
      <c r="AI121" s="577"/>
      <c r="AJ121" s="577"/>
      <c r="AK121" s="577"/>
      <c r="AL121" s="577"/>
      <c r="AM121" s="577"/>
      <c r="AN121" s="577"/>
      <c r="AO121" s="577"/>
      <c r="AP121" s="577"/>
      <c r="AQ121" s="577"/>
      <c r="AR121" s="577"/>
      <c r="AS121" s="577"/>
      <c r="AT121" s="577"/>
      <c r="AU121" s="577"/>
      <c r="AV121" s="577"/>
      <c r="AW121" s="577"/>
      <c r="AX121" s="577"/>
      <c r="AY121" s="577"/>
      <c r="AZ121" s="577"/>
    </row>
    <row r="122" spans="1:52" ht="15.75" customHeight="1" x14ac:dyDescent="0.2">
      <c r="A122" s="577"/>
      <c r="B122" s="577"/>
      <c r="C122" s="577"/>
      <c r="D122" s="577"/>
      <c r="E122" s="577"/>
      <c r="F122" s="577"/>
      <c r="G122" s="577"/>
      <c r="H122" s="577"/>
      <c r="I122" s="577"/>
      <c r="J122" s="577"/>
      <c r="K122" s="577"/>
      <c r="L122" s="577"/>
      <c r="M122" s="577"/>
      <c r="N122" s="577"/>
      <c r="O122" s="577"/>
      <c r="P122" s="577"/>
      <c r="Q122" s="577"/>
      <c r="R122" s="577"/>
      <c r="S122" s="577"/>
      <c r="T122" s="577"/>
      <c r="U122" s="577"/>
      <c r="V122" s="577"/>
      <c r="W122" s="577"/>
      <c r="X122" s="577"/>
      <c r="Y122" s="577"/>
      <c r="Z122" s="577"/>
      <c r="AA122" s="577"/>
      <c r="AB122" s="577"/>
      <c r="AC122" s="577"/>
      <c r="AD122" s="577"/>
      <c r="AE122" s="577"/>
      <c r="AF122" s="577"/>
      <c r="AG122" s="577"/>
      <c r="AH122" s="577"/>
      <c r="AI122" s="577"/>
      <c r="AJ122" s="577"/>
      <c r="AK122" s="577"/>
      <c r="AL122" s="577"/>
      <c r="AM122" s="577"/>
      <c r="AN122" s="577"/>
      <c r="AO122" s="577"/>
      <c r="AP122" s="577"/>
      <c r="AQ122" s="577"/>
      <c r="AR122" s="577"/>
      <c r="AS122" s="577"/>
      <c r="AT122" s="577"/>
      <c r="AU122" s="577"/>
      <c r="AV122" s="577"/>
      <c r="AW122" s="577"/>
      <c r="AX122" s="577"/>
      <c r="AY122" s="577"/>
      <c r="AZ122" s="577"/>
    </row>
    <row r="123" spans="1:52" ht="15.75" customHeight="1" x14ac:dyDescent="0.2">
      <c r="A123" s="577"/>
      <c r="B123" s="577"/>
      <c r="C123" s="577"/>
      <c r="D123" s="577"/>
      <c r="E123" s="577"/>
      <c r="F123" s="577"/>
      <c r="G123" s="577"/>
      <c r="H123" s="577"/>
      <c r="I123" s="577"/>
      <c r="J123" s="577"/>
      <c r="K123" s="577"/>
      <c r="L123" s="577"/>
      <c r="M123" s="577"/>
      <c r="N123" s="577"/>
      <c r="O123" s="577"/>
      <c r="P123" s="577"/>
      <c r="Q123" s="577"/>
      <c r="R123" s="577"/>
      <c r="S123" s="577"/>
      <c r="T123" s="577"/>
      <c r="U123" s="577"/>
      <c r="V123" s="577"/>
      <c r="W123" s="577"/>
      <c r="X123" s="577"/>
      <c r="Y123" s="577"/>
      <c r="Z123" s="577"/>
      <c r="AA123" s="577"/>
      <c r="AB123" s="577"/>
      <c r="AC123" s="577"/>
      <c r="AD123" s="577"/>
      <c r="AE123" s="577"/>
      <c r="AF123" s="577"/>
      <c r="AG123" s="577"/>
      <c r="AH123" s="577"/>
      <c r="AI123" s="577"/>
      <c r="AJ123" s="577"/>
      <c r="AK123" s="577"/>
      <c r="AL123" s="577"/>
      <c r="AM123" s="577"/>
      <c r="AN123" s="577"/>
      <c r="AO123" s="577"/>
      <c r="AP123" s="577"/>
      <c r="AQ123" s="577"/>
      <c r="AR123" s="577"/>
      <c r="AS123" s="577"/>
      <c r="AT123" s="577"/>
      <c r="AU123" s="577"/>
      <c r="AV123" s="577"/>
      <c r="AW123" s="577"/>
      <c r="AX123" s="577"/>
      <c r="AY123" s="577"/>
      <c r="AZ123" s="577"/>
    </row>
    <row r="124" spans="1:52" ht="15.75" customHeight="1" x14ac:dyDescent="0.2">
      <c r="A124" s="577"/>
      <c r="B124" s="577"/>
      <c r="C124" s="577"/>
      <c r="D124" s="577"/>
      <c r="E124" s="577"/>
      <c r="F124" s="577"/>
      <c r="G124" s="577"/>
      <c r="H124" s="577"/>
      <c r="I124" s="577"/>
      <c r="J124" s="577"/>
      <c r="K124" s="577"/>
      <c r="L124" s="577"/>
      <c r="M124" s="577"/>
      <c r="N124" s="577"/>
      <c r="O124" s="577"/>
      <c r="P124" s="577"/>
      <c r="Q124" s="577"/>
      <c r="R124" s="577"/>
      <c r="S124" s="577"/>
      <c r="T124" s="577"/>
      <c r="U124" s="577"/>
      <c r="V124" s="577"/>
      <c r="W124" s="577"/>
      <c r="X124" s="577"/>
      <c r="Y124" s="577"/>
      <c r="Z124" s="577"/>
      <c r="AA124" s="577"/>
      <c r="AB124" s="577"/>
      <c r="AC124" s="577"/>
      <c r="AD124" s="577"/>
      <c r="AE124" s="577"/>
      <c r="AF124" s="577"/>
      <c r="AG124" s="577"/>
      <c r="AH124" s="577"/>
      <c r="AI124" s="577"/>
      <c r="AJ124" s="577"/>
      <c r="AK124" s="577"/>
      <c r="AL124" s="577"/>
      <c r="AM124" s="577"/>
      <c r="AN124" s="577"/>
      <c r="AO124" s="577"/>
      <c r="AP124" s="577"/>
      <c r="AQ124" s="577"/>
      <c r="AR124" s="577"/>
      <c r="AS124" s="577"/>
      <c r="AT124" s="577"/>
      <c r="AU124" s="577"/>
      <c r="AV124" s="577"/>
      <c r="AW124" s="577"/>
      <c r="AX124" s="577"/>
      <c r="AY124" s="577"/>
      <c r="AZ124" s="577"/>
    </row>
    <row r="125" spans="1:52" ht="15.75" customHeight="1" x14ac:dyDescent="0.2">
      <c r="A125" s="577"/>
      <c r="B125" s="577"/>
      <c r="C125" s="577"/>
      <c r="D125" s="577"/>
      <c r="E125" s="577"/>
      <c r="F125" s="577"/>
      <c r="G125" s="577"/>
      <c r="H125" s="577"/>
      <c r="I125" s="577"/>
      <c r="J125" s="577"/>
      <c r="K125" s="577"/>
      <c r="L125" s="577"/>
      <c r="M125" s="577"/>
      <c r="N125" s="577"/>
      <c r="O125" s="577"/>
      <c r="P125" s="577"/>
      <c r="Q125" s="577"/>
      <c r="R125" s="577"/>
      <c r="S125" s="577"/>
      <c r="T125" s="577"/>
      <c r="U125" s="577"/>
      <c r="V125" s="577"/>
      <c r="W125" s="577"/>
      <c r="X125" s="577"/>
      <c r="Y125" s="577"/>
      <c r="Z125" s="577"/>
      <c r="AA125" s="577"/>
      <c r="AB125" s="577"/>
      <c r="AC125" s="577"/>
      <c r="AD125" s="577"/>
      <c r="AE125" s="577"/>
      <c r="AF125" s="577"/>
      <c r="AG125" s="577"/>
      <c r="AH125" s="577"/>
      <c r="AI125" s="577"/>
      <c r="AJ125" s="577"/>
      <c r="AK125" s="577"/>
      <c r="AL125" s="577"/>
      <c r="AM125" s="577"/>
      <c r="AN125" s="577"/>
      <c r="AO125" s="577"/>
      <c r="AP125" s="577"/>
      <c r="AQ125" s="577"/>
      <c r="AR125" s="577"/>
      <c r="AS125" s="577"/>
      <c r="AT125" s="577"/>
      <c r="AU125" s="577"/>
      <c r="AV125" s="577"/>
      <c r="AW125" s="577"/>
      <c r="AX125" s="577"/>
      <c r="AY125" s="577"/>
      <c r="AZ125" s="577"/>
    </row>
    <row r="126" spans="1:52" ht="15.75" customHeight="1" x14ac:dyDescent="0.2">
      <c r="A126" s="577"/>
      <c r="B126" s="577"/>
      <c r="C126" s="577"/>
      <c r="D126" s="577"/>
      <c r="E126" s="577"/>
      <c r="F126" s="577"/>
      <c r="G126" s="577"/>
      <c r="H126" s="577"/>
      <c r="I126" s="577"/>
      <c r="J126" s="577"/>
      <c r="K126" s="577"/>
      <c r="L126" s="577"/>
      <c r="M126" s="577"/>
      <c r="N126" s="577"/>
      <c r="O126" s="577"/>
      <c r="P126" s="577"/>
      <c r="Q126" s="577"/>
      <c r="R126" s="577"/>
      <c r="S126" s="577"/>
      <c r="T126" s="577"/>
      <c r="U126" s="577"/>
      <c r="V126" s="577"/>
      <c r="W126" s="577"/>
      <c r="X126" s="577"/>
      <c r="Y126" s="577"/>
      <c r="Z126" s="577"/>
      <c r="AA126" s="577"/>
      <c r="AB126" s="577"/>
      <c r="AC126" s="577"/>
      <c r="AD126" s="577"/>
      <c r="AE126" s="577"/>
      <c r="AF126" s="577"/>
      <c r="AG126" s="577"/>
      <c r="AH126" s="577"/>
      <c r="AI126" s="577"/>
      <c r="AJ126" s="577"/>
      <c r="AK126" s="577"/>
      <c r="AL126" s="577"/>
      <c r="AM126" s="577"/>
      <c r="AN126" s="577"/>
      <c r="AO126" s="577"/>
      <c r="AP126" s="577"/>
      <c r="AQ126" s="577"/>
      <c r="AR126" s="577"/>
      <c r="AS126" s="577"/>
      <c r="AT126" s="577"/>
      <c r="AU126" s="577"/>
      <c r="AV126" s="577"/>
      <c r="AW126" s="577"/>
      <c r="AX126" s="577"/>
      <c r="AY126" s="577"/>
      <c r="AZ126" s="577"/>
    </row>
    <row r="127" spans="1:52" ht="15.75" customHeight="1" x14ac:dyDescent="0.2">
      <c r="A127" s="577"/>
      <c r="B127" s="577"/>
      <c r="C127" s="577"/>
      <c r="D127" s="577"/>
      <c r="E127" s="577"/>
      <c r="F127" s="577"/>
      <c r="G127" s="577"/>
      <c r="H127" s="577"/>
      <c r="I127" s="577"/>
      <c r="J127" s="577"/>
      <c r="K127" s="577"/>
      <c r="L127" s="577"/>
      <c r="M127" s="577"/>
      <c r="N127" s="577"/>
      <c r="O127" s="577"/>
      <c r="P127" s="577"/>
      <c r="Q127" s="577"/>
      <c r="R127" s="577"/>
      <c r="S127" s="577"/>
      <c r="T127" s="577"/>
      <c r="U127" s="577"/>
      <c r="V127" s="577"/>
      <c r="W127" s="577"/>
      <c r="X127" s="577"/>
      <c r="Y127" s="577"/>
      <c r="Z127" s="577"/>
      <c r="AA127" s="577"/>
      <c r="AB127" s="577"/>
      <c r="AC127" s="577"/>
      <c r="AD127" s="577"/>
      <c r="AE127" s="577"/>
      <c r="AF127" s="577"/>
      <c r="AG127" s="577"/>
      <c r="AH127" s="577"/>
      <c r="AI127" s="577"/>
      <c r="AJ127" s="577"/>
      <c r="AK127" s="577"/>
      <c r="AL127" s="577"/>
      <c r="AM127" s="577"/>
      <c r="AN127" s="577"/>
      <c r="AO127" s="577"/>
      <c r="AP127" s="577"/>
      <c r="AQ127" s="577"/>
      <c r="AR127" s="577"/>
      <c r="AS127" s="577"/>
      <c r="AT127" s="577"/>
      <c r="AU127" s="577"/>
      <c r="AV127" s="577"/>
      <c r="AW127" s="577"/>
      <c r="AX127" s="577"/>
      <c r="AY127" s="577"/>
      <c r="AZ127" s="577"/>
    </row>
    <row r="128" spans="1:52" ht="15.75" customHeight="1" x14ac:dyDescent="0.2">
      <c r="A128" s="577"/>
      <c r="B128" s="577"/>
      <c r="C128" s="577"/>
      <c r="D128" s="577"/>
      <c r="E128" s="577"/>
      <c r="F128" s="577"/>
      <c r="G128" s="577"/>
      <c r="H128" s="577"/>
      <c r="I128" s="577"/>
      <c r="J128" s="577"/>
      <c r="K128" s="577"/>
      <c r="L128" s="577"/>
      <c r="M128" s="577"/>
      <c r="N128" s="577"/>
      <c r="O128" s="577"/>
      <c r="P128" s="577"/>
      <c r="Q128" s="577"/>
      <c r="R128" s="577"/>
      <c r="S128" s="577"/>
      <c r="T128" s="577"/>
      <c r="U128" s="577"/>
      <c r="V128" s="577"/>
      <c r="W128" s="577"/>
      <c r="X128" s="577"/>
      <c r="Y128" s="577"/>
      <c r="Z128" s="577"/>
      <c r="AA128" s="577"/>
      <c r="AB128" s="577"/>
      <c r="AC128" s="577"/>
      <c r="AD128" s="577"/>
      <c r="AE128" s="577"/>
      <c r="AF128" s="577"/>
      <c r="AG128" s="577"/>
      <c r="AH128" s="577"/>
      <c r="AI128" s="577"/>
      <c r="AJ128" s="577"/>
      <c r="AK128" s="577"/>
      <c r="AL128" s="577"/>
      <c r="AM128" s="577"/>
      <c r="AN128" s="577"/>
      <c r="AO128" s="577"/>
      <c r="AP128" s="577"/>
      <c r="AQ128" s="577"/>
      <c r="AR128" s="577"/>
      <c r="AS128" s="577"/>
      <c r="AT128" s="577"/>
      <c r="AU128" s="577"/>
      <c r="AV128" s="577"/>
      <c r="AW128" s="577"/>
      <c r="AX128" s="577"/>
      <c r="AY128" s="577"/>
      <c r="AZ128" s="577"/>
    </row>
    <row r="129" spans="1:52" ht="15.75" customHeight="1" x14ac:dyDescent="0.2">
      <c r="A129" s="577"/>
      <c r="B129" s="577"/>
      <c r="C129" s="577"/>
      <c r="D129" s="577"/>
      <c r="E129" s="577"/>
      <c r="F129" s="577"/>
      <c r="G129" s="577"/>
      <c r="H129" s="577"/>
      <c r="I129" s="577"/>
      <c r="J129" s="577"/>
      <c r="K129" s="577"/>
      <c r="L129" s="577"/>
      <c r="M129" s="577"/>
      <c r="N129" s="577"/>
      <c r="O129" s="577"/>
      <c r="P129" s="577"/>
      <c r="Q129" s="577"/>
      <c r="R129" s="577"/>
      <c r="S129" s="577"/>
      <c r="T129" s="577"/>
      <c r="U129" s="577"/>
      <c r="V129" s="577"/>
      <c r="W129" s="577"/>
      <c r="X129" s="577"/>
      <c r="Y129" s="577"/>
      <c r="Z129" s="577"/>
      <c r="AA129" s="577"/>
      <c r="AB129" s="577"/>
      <c r="AC129" s="577"/>
      <c r="AD129" s="577"/>
      <c r="AE129" s="577"/>
      <c r="AF129" s="577"/>
      <c r="AG129" s="577"/>
      <c r="AH129" s="577"/>
      <c r="AI129" s="577"/>
      <c r="AJ129" s="577"/>
      <c r="AK129" s="577"/>
      <c r="AL129" s="577"/>
      <c r="AM129" s="577"/>
      <c r="AN129" s="577"/>
      <c r="AO129" s="577"/>
      <c r="AP129" s="577"/>
      <c r="AQ129" s="577"/>
      <c r="AR129" s="577"/>
      <c r="AS129" s="577"/>
      <c r="AT129" s="577"/>
      <c r="AU129" s="577"/>
      <c r="AV129" s="577"/>
      <c r="AW129" s="577"/>
      <c r="AX129" s="577"/>
      <c r="AY129" s="577"/>
      <c r="AZ129" s="577"/>
    </row>
    <row r="130" spans="1:52" ht="15.75" customHeight="1" x14ac:dyDescent="0.2">
      <c r="A130" s="577"/>
      <c r="B130" s="577"/>
      <c r="C130" s="577"/>
      <c r="D130" s="577"/>
      <c r="E130" s="577"/>
      <c r="F130" s="577"/>
      <c r="G130" s="577"/>
      <c r="H130" s="577"/>
      <c r="I130" s="577"/>
      <c r="J130" s="577"/>
      <c r="K130" s="577"/>
      <c r="L130" s="577"/>
      <c r="M130" s="577"/>
      <c r="N130" s="577"/>
      <c r="O130" s="577"/>
      <c r="P130" s="577"/>
      <c r="Q130" s="577"/>
      <c r="R130" s="577"/>
      <c r="S130" s="577"/>
      <c r="T130" s="577"/>
      <c r="U130" s="577"/>
      <c r="V130" s="577"/>
      <c r="W130" s="577"/>
      <c r="X130" s="577"/>
      <c r="Y130" s="577"/>
      <c r="Z130" s="577"/>
      <c r="AA130" s="577"/>
      <c r="AB130" s="577"/>
      <c r="AC130" s="577"/>
      <c r="AD130" s="577"/>
      <c r="AE130" s="577"/>
      <c r="AF130" s="577"/>
      <c r="AG130" s="577"/>
      <c r="AH130" s="577"/>
      <c r="AI130" s="577"/>
      <c r="AJ130" s="577"/>
      <c r="AK130" s="577"/>
      <c r="AL130" s="577"/>
      <c r="AM130" s="577"/>
      <c r="AN130" s="577"/>
      <c r="AO130" s="577"/>
      <c r="AP130" s="577"/>
      <c r="AQ130" s="577"/>
      <c r="AR130" s="577"/>
      <c r="AS130" s="577"/>
      <c r="AT130" s="577"/>
      <c r="AU130" s="577"/>
      <c r="AV130" s="577"/>
      <c r="AW130" s="577"/>
      <c r="AX130" s="577"/>
      <c r="AY130" s="577"/>
      <c r="AZ130" s="577"/>
    </row>
    <row r="131" spans="1:52" ht="15.75" customHeight="1" x14ac:dyDescent="0.2">
      <c r="A131" s="577"/>
      <c r="B131" s="577"/>
      <c r="C131" s="577"/>
      <c r="D131" s="577"/>
      <c r="E131" s="577"/>
      <c r="F131" s="577"/>
      <c r="G131" s="577"/>
      <c r="H131" s="577"/>
      <c r="I131" s="577"/>
      <c r="J131" s="577"/>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7"/>
      <c r="AK131" s="577"/>
      <c r="AL131" s="577"/>
      <c r="AM131" s="577"/>
      <c r="AN131" s="577"/>
      <c r="AO131" s="577"/>
      <c r="AP131" s="577"/>
      <c r="AQ131" s="577"/>
      <c r="AR131" s="577"/>
      <c r="AS131" s="577"/>
      <c r="AT131" s="577"/>
      <c r="AU131" s="577"/>
      <c r="AV131" s="577"/>
      <c r="AW131" s="577"/>
      <c r="AX131" s="577"/>
      <c r="AY131" s="577"/>
      <c r="AZ131" s="577"/>
    </row>
    <row r="132" spans="1:52" ht="15.75" customHeight="1" x14ac:dyDescent="0.2">
      <c r="A132" s="577"/>
      <c r="B132" s="577"/>
      <c r="C132" s="577"/>
      <c r="D132" s="577"/>
      <c r="E132" s="577"/>
      <c r="F132" s="577"/>
      <c r="G132" s="577"/>
      <c r="H132" s="577"/>
      <c r="I132" s="577"/>
      <c r="J132" s="577"/>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7"/>
      <c r="AK132" s="577"/>
      <c r="AL132" s="577"/>
      <c r="AM132" s="577"/>
      <c r="AN132" s="577"/>
      <c r="AO132" s="577"/>
      <c r="AP132" s="577"/>
      <c r="AQ132" s="577"/>
      <c r="AR132" s="577"/>
      <c r="AS132" s="577"/>
      <c r="AT132" s="577"/>
      <c r="AU132" s="577"/>
      <c r="AV132" s="577"/>
      <c r="AW132" s="577"/>
      <c r="AX132" s="577"/>
      <c r="AY132" s="577"/>
      <c r="AZ132" s="577"/>
    </row>
    <row r="133" spans="1:52" ht="15.75" customHeight="1" x14ac:dyDescent="0.2">
      <c r="A133" s="577"/>
      <c r="B133" s="577"/>
      <c r="C133" s="577"/>
      <c r="D133" s="577"/>
      <c r="E133" s="577"/>
      <c r="F133" s="577"/>
      <c r="G133" s="577"/>
      <c r="H133" s="577"/>
      <c r="I133" s="577"/>
      <c r="J133" s="577"/>
      <c r="K133" s="577"/>
      <c r="L133" s="577"/>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7"/>
      <c r="AK133" s="577"/>
      <c r="AL133" s="577"/>
      <c r="AM133" s="577"/>
      <c r="AN133" s="577"/>
      <c r="AO133" s="577"/>
      <c r="AP133" s="577"/>
      <c r="AQ133" s="577"/>
      <c r="AR133" s="577"/>
      <c r="AS133" s="577"/>
      <c r="AT133" s="577"/>
      <c r="AU133" s="577"/>
      <c r="AV133" s="577"/>
      <c r="AW133" s="577"/>
      <c r="AX133" s="577"/>
      <c r="AY133" s="577"/>
      <c r="AZ133" s="577"/>
    </row>
    <row r="134" spans="1:52" ht="15.75" customHeight="1" x14ac:dyDescent="0.2">
      <c r="A134" s="577"/>
      <c r="B134" s="577"/>
      <c r="C134" s="577"/>
      <c r="D134" s="577"/>
      <c r="E134" s="577"/>
      <c r="F134" s="577"/>
      <c r="G134" s="577"/>
      <c r="H134" s="577"/>
      <c r="I134" s="577"/>
      <c r="J134" s="577"/>
      <c r="K134" s="577"/>
      <c r="L134" s="577"/>
      <c r="M134" s="577"/>
      <c r="N134" s="577"/>
      <c r="O134" s="577"/>
      <c r="P134" s="577"/>
      <c r="Q134" s="577"/>
      <c r="R134" s="577"/>
      <c r="S134" s="577"/>
      <c r="T134" s="577"/>
      <c r="U134" s="577"/>
      <c r="V134" s="577"/>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c r="AY134" s="577"/>
      <c r="AZ134" s="577"/>
    </row>
    <row r="135" spans="1:52" ht="15.75" customHeight="1" x14ac:dyDescent="0.2">
      <c r="A135" s="577"/>
      <c r="B135" s="577"/>
      <c r="C135" s="577"/>
      <c r="D135" s="577"/>
      <c r="E135" s="577"/>
      <c r="F135" s="577"/>
      <c r="G135" s="577"/>
      <c r="H135" s="577"/>
      <c r="I135" s="577"/>
      <c r="J135" s="577"/>
      <c r="K135" s="577"/>
      <c r="L135" s="577"/>
      <c r="M135" s="577"/>
      <c r="N135" s="577"/>
      <c r="O135" s="577"/>
      <c r="P135" s="577"/>
      <c r="Q135" s="577"/>
      <c r="R135" s="577"/>
      <c r="S135" s="577"/>
      <c r="T135" s="577"/>
      <c r="U135" s="577"/>
      <c r="V135" s="577"/>
      <c r="W135" s="577"/>
      <c r="X135" s="577"/>
      <c r="Y135" s="577"/>
      <c r="Z135" s="577"/>
      <c r="AA135" s="577"/>
      <c r="AB135" s="577"/>
      <c r="AC135" s="577"/>
      <c r="AD135" s="577"/>
      <c r="AE135" s="577"/>
      <c r="AF135" s="577"/>
      <c r="AG135" s="577"/>
      <c r="AH135" s="577"/>
      <c r="AI135" s="577"/>
      <c r="AJ135" s="577"/>
      <c r="AK135" s="577"/>
      <c r="AL135" s="577"/>
      <c r="AM135" s="577"/>
      <c r="AN135" s="577"/>
      <c r="AO135" s="577"/>
      <c r="AP135" s="577"/>
      <c r="AQ135" s="577"/>
      <c r="AR135" s="577"/>
      <c r="AS135" s="577"/>
      <c r="AT135" s="577"/>
      <c r="AU135" s="577"/>
      <c r="AV135" s="577"/>
      <c r="AW135" s="577"/>
      <c r="AX135" s="577"/>
      <c r="AY135" s="577"/>
      <c r="AZ135" s="577"/>
    </row>
    <row r="136" spans="1:52" ht="15.75" customHeight="1" x14ac:dyDescent="0.2">
      <c r="A136" s="577"/>
      <c r="B136" s="577"/>
      <c r="C136" s="577"/>
      <c r="D136" s="577"/>
      <c r="E136" s="577"/>
      <c r="F136" s="577"/>
      <c r="G136" s="577"/>
      <c r="H136" s="577"/>
      <c r="I136" s="577"/>
      <c r="J136" s="577"/>
      <c r="K136" s="577"/>
      <c r="L136" s="577"/>
      <c r="M136" s="577"/>
      <c r="N136" s="577"/>
      <c r="O136" s="577"/>
      <c r="P136" s="577"/>
      <c r="Q136" s="577"/>
      <c r="R136" s="577"/>
      <c r="S136" s="577"/>
      <c r="T136" s="577"/>
      <c r="U136" s="577"/>
      <c r="V136" s="577"/>
      <c r="W136" s="577"/>
      <c r="X136" s="577"/>
      <c r="Y136" s="577"/>
      <c r="Z136" s="577"/>
      <c r="AA136" s="577"/>
      <c r="AB136" s="577"/>
      <c r="AC136" s="577"/>
      <c r="AD136" s="577"/>
      <c r="AE136" s="577"/>
      <c r="AF136" s="577"/>
      <c r="AG136" s="577"/>
      <c r="AH136" s="577"/>
      <c r="AI136" s="577"/>
      <c r="AJ136" s="577"/>
      <c r="AK136" s="577"/>
      <c r="AL136" s="577"/>
      <c r="AM136" s="577"/>
      <c r="AN136" s="577"/>
      <c r="AO136" s="577"/>
      <c r="AP136" s="577"/>
      <c r="AQ136" s="577"/>
      <c r="AR136" s="577"/>
      <c r="AS136" s="577"/>
      <c r="AT136" s="577"/>
      <c r="AU136" s="577"/>
      <c r="AV136" s="577"/>
      <c r="AW136" s="577"/>
      <c r="AX136" s="577"/>
      <c r="AY136" s="577"/>
      <c r="AZ136" s="577"/>
    </row>
    <row r="137" spans="1:52" ht="15.75" customHeight="1" x14ac:dyDescent="0.2">
      <c r="A137" s="577"/>
      <c r="B137" s="577"/>
      <c r="C137" s="577"/>
      <c r="D137" s="577"/>
      <c r="E137" s="577"/>
      <c r="F137" s="577"/>
      <c r="G137" s="577"/>
      <c r="H137" s="577"/>
      <c r="I137" s="577"/>
      <c r="J137" s="577"/>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7"/>
      <c r="AK137" s="577"/>
      <c r="AL137" s="577"/>
      <c r="AM137" s="577"/>
      <c r="AN137" s="577"/>
      <c r="AO137" s="577"/>
      <c r="AP137" s="577"/>
      <c r="AQ137" s="577"/>
      <c r="AR137" s="577"/>
      <c r="AS137" s="577"/>
      <c r="AT137" s="577"/>
      <c r="AU137" s="577"/>
      <c r="AV137" s="577"/>
      <c r="AW137" s="577"/>
      <c r="AX137" s="577"/>
      <c r="AY137" s="577"/>
      <c r="AZ137" s="577"/>
    </row>
    <row r="138" spans="1:52" ht="15.75" customHeight="1" x14ac:dyDescent="0.2">
      <c r="A138" s="577"/>
      <c r="B138" s="577"/>
      <c r="C138" s="577"/>
      <c r="D138" s="577"/>
      <c r="E138" s="577"/>
      <c r="F138" s="577"/>
      <c r="G138" s="577"/>
      <c r="H138" s="577"/>
      <c r="I138" s="577"/>
      <c r="J138" s="577"/>
      <c r="K138" s="577"/>
      <c r="L138" s="577"/>
      <c r="M138" s="577"/>
      <c r="N138" s="577"/>
      <c r="O138" s="577"/>
      <c r="P138" s="577"/>
      <c r="Q138" s="577"/>
      <c r="R138" s="577"/>
      <c r="S138" s="577"/>
      <c r="T138" s="577"/>
      <c r="U138" s="577"/>
      <c r="V138" s="577"/>
      <c r="W138" s="577"/>
      <c r="X138" s="577"/>
      <c r="Y138" s="577"/>
      <c r="Z138" s="577"/>
      <c r="AA138" s="577"/>
      <c r="AB138" s="577"/>
      <c r="AC138" s="577"/>
      <c r="AD138" s="577"/>
      <c r="AE138" s="577"/>
      <c r="AF138" s="577"/>
      <c r="AG138" s="577"/>
      <c r="AH138" s="577"/>
      <c r="AI138" s="577"/>
      <c r="AJ138" s="577"/>
      <c r="AK138" s="577"/>
      <c r="AL138" s="577"/>
      <c r="AM138" s="577"/>
      <c r="AN138" s="577"/>
      <c r="AO138" s="577"/>
      <c r="AP138" s="577"/>
      <c r="AQ138" s="577"/>
      <c r="AR138" s="577"/>
      <c r="AS138" s="577"/>
      <c r="AT138" s="577"/>
      <c r="AU138" s="577"/>
      <c r="AV138" s="577"/>
      <c r="AW138" s="577"/>
      <c r="AX138" s="577"/>
      <c r="AY138" s="577"/>
      <c r="AZ138" s="577"/>
    </row>
    <row r="139" spans="1:52" ht="15.75" customHeight="1" x14ac:dyDescent="0.2">
      <c r="A139" s="577"/>
      <c r="B139" s="577"/>
      <c r="C139" s="577"/>
      <c r="D139" s="577"/>
      <c r="E139" s="577"/>
      <c r="F139" s="577"/>
      <c r="G139" s="577"/>
      <c r="H139" s="577"/>
      <c r="I139" s="577"/>
      <c r="J139" s="577"/>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7"/>
      <c r="AK139" s="577"/>
      <c r="AL139" s="577"/>
      <c r="AM139" s="577"/>
      <c r="AN139" s="577"/>
      <c r="AO139" s="577"/>
      <c r="AP139" s="577"/>
      <c r="AQ139" s="577"/>
      <c r="AR139" s="577"/>
      <c r="AS139" s="577"/>
      <c r="AT139" s="577"/>
      <c r="AU139" s="577"/>
      <c r="AV139" s="577"/>
      <c r="AW139" s="577"/>
      <c r="AX139" s="577"/>
      <c r="AY139" s="577"/>
      <c r="AZ139" s="577"/>
    </row>
    <row r="140" spans="1:52" ht="15.75" customHeight="1" x14ac:dyDescent="0.2">
      <c r="A140" s="577"/>
      <c r="B140" s="577"/>
      <c r="C140" s="577"/>
      <c r="D140" s="577"/>
      <c r="E140" s="577"/>
      <c r="F140" s="577"/>
      <c r="G140" s="577"/>
      <c r="H140" s="577"/>
      <c r="I140" s="577"/>
      <c r="J140" s="577"/>
      <c r="K140" s="577"/>
      <c r="L140" s="577"/>
      <c r="M140" s="577"/>
      <c r="N140" s="577"/>
      <c r="O140" s="577"/>
      <c r="P140" s="577"/>
      <c r="Q140" s="577"/>
      <c r="R140" s="577"/>
      <c r="S140" s="577"/>
      <c r="T140" s="577"/>
      <c r="U140" s="577"/>
      <c r="V140" s="577"/>
      <c r="W140" s="577"/>
      <c r="X140" s="577"/>
      <c r="Y140" s="577"/>
      <c r="Z140" s="577"/>
      <c r="AA140" s="577"/>
      <c r="AB140" s="577"/>
      <c r="AC140" s="577"/>
      <c r="AD140" s="577"/>
      <c r="AE140" s="577"/>
      <c r="AF140" s="577"/>
      <c r="AG140" s="577"/>
      <c r="AH140" s="577"/>
      <c r="AI140" s="577"/>
      <c r="AJ140" s="577"/>
      <c r="AK140" s="577"/>
      <c r="AL140" s="577"/>
      <c r="AM140" s="577"/>
      <c r="AN140" s="577"/>
      <c r="AO140" s="577"/>
      <c r="AP140" s="577"/>
      <c r="AQ140" s="577"/>
      <c r="AR140" s="577"/>
      <c r="AS140" s="577"/>
      <c r="AT140" s="577"/>
      <c r="AU140" s="577"/>
      <c r="AV140" s="577"/>
      <c r="AW140" s="577"/>
      <c r="AX140" s="577"/>
      <c r="AY140" s="577"/>
      <c r="AZ140" s="577"/>
    </row>
    <row r="141" spans="1:52" ht="15.75" customHeight="1" x14ac:dyDescent="0.2">
      <c r="A141" s="577"/>
      <c r="B141" s="577"/>
      <c r="C141" s="577"/>
      <c r="D141" s="577"/>
      <c r="E141" s="577"/>
      <c r="F141" s="577"/>
      <c r="G141" s="577"/>
      <c r="H141" s="577"/>
      <c r="I141" s="577"/>
      <c r="J141" s="577"/>
      <c r="K141" s="577"/>
      <c r="L141" s="577"/>
      <c r="M141" s="577"/>
      <c r="N141" s="577"/>
      <c r="O141" s="577"/>
      <c r="P141" s="577"/>
      <c r="Q141" s="577"/>
      <c r="R141" s="577"/>
      <c r="S141" s="577"/>
      <c r="T141" s="577"/>
      <c r="U141" s="577"/>
      <c r="V141" s="577"/>
      <c r="W141" s="577"/>
      <c r="X141" s="577"/>
      <c r="Y141" s="577"/>
      <c r="Z141" s="577"/>
      <c r="AA141" s="577"/>
      <c r="AB141" s="577"/>
      <c r="AC141" s="577"/>
      <c r="AD141" s="577"/>
      <c r="AE141" s="577"/>
      <c r="AF141" s="577"/>
      <c r="AG141" s="577"/>
      <c r="AH141" s="577"/>
      <c r="AI141" s="577"/>
      <c r="AJ141" s="577"/>
      <c r="AK141" s="577"/>
      <c r="AL141" s="577"/>
      <c r="AM141" s="577"/>
      <c r="AN141" s="577"/>
      <c r="AO141" s="577"/>
      <c r="AP141" s="577"/>
      <c r="AQ141" s="577"/>
      <c r="AR141" s="577"/>
      <c r="AS141" s="577"/>
      <c r="AT141" s="577"/>
      <c r="AU141" s="577"/>
      <c r="AV141" s="577"/>
      <c r="AW141" s="577"/>
      <c r="AX141" s="577"/>
      <c r="AY141" s="577"/>
      <c r="AZ141" s="577"/>
    </row>
    <row r="142" spans="1:52" ht="15.75" customHeight="1" x14ac:dyDescent="0.2">
      <c r="A142" s="577"/>
      <c r="B142" s="577"/>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E142" s="577"/>
      <c r="AF142" s="577"/>
      <c r="AG142" s="577"/>
      <c r="AH142" s="577"/>
      <c r="AI142" s="577"/>
      <c r="AJ142" s="577"/>
      <c r="AK142" s="577"/>
      <c r="AL142" s="577"/>
      <c r="AM142" s="577"/>
      <c r="AN142" s="577"/>
      <c r="AO142" s="577"/>
      <c r="AP142" s="577"/>
      <c r="AQ142" s="577"/>
      <c r="AR142" s="577"/>
      <c r="AS142" s="577"/>
      <c r="AT142" s="577"/>
      <c r="AU142" s="577"/>
      <c r="AV142" s="577"/>
      <c r="AW142" s="577"/>
      <c r="AX142" s="577"/>
      <c r="AY142" s="577"/>
      <c r="AZ142" s="577"/>
    </row>
    <row r="143" spans="1:52" ht="15.75" customHeight="1" x14ac:dyDescent="0.2">
      <c r="A143" s="577"/>
      <c r="B143" s="577"/>
      <c r="C143" s="577"/>
      <c r="D143" s="577"/>
      <c r="E143" s="577"/>
      <c r="F143" s="577"/>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c r="AJ143" s="577"/>
      <c r="AK143" s="577"/>
      <c r="AL143" s="577"/>
      <c r="AM143" s="577"/>
      <c r="AN143" s="577"/>
      <c r="AO143" s="577"/>
      <c r="AP143" s="577"/>
      <c r="AQ143" s="577"/>
      <c r="AR143" s="577"/>
      <c r="AS143" s="577"/>
      <c r="AT143" s="577"/>
      <c r="AU143" s="577"/>
      <c r="AV143" s="577"/>
      <c r="AW143" s="577"/>
      <c r="AX143" s="577"/>
      <c r="AY143" s="577"/>
      <c r="AZ143" s="577"/>
    </row>
    <row r="144" spans="1:52" ht="15.75" customHeight="1" x14ac:dyDescent="0.2">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c r="AJ144" s="577"/>
      <c r="AK144" s="577"/>
      <c r="AL144" s="577"/>
      <c r="AM144" s="577"/>
      <c r="AN144" s="577"/>
      <c r="AO144" s="577"/>
      <c r="AP144" s="577"/>
      <c r="AQ144" s="577"/>
      <c r="AR144" s="577"/>
      <c r="AS144" s="577"/>
      <c r="AT144" s="577"/>
      <c r="AU144" s="577"/>
      <c r="AV144" s="577"/>
      <c r="AW144" s="577"/>
      <c r="AX144" s="577"/>
      <c r="AY144" s="577"/>
      <c r="AZ144" s="577"/>
    </row>
    <row r="145" spans="1:52" ht="15.75" customHeight="1" x14ac:dyDescent="0.2">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c r="AJ145" s="577"/>
      <c r="AK145" s="577"/>
      <c r="AL145" s="577"/>
      <c r="AM145" s="577"/>
      <c r="AN145" s="577"/>
      <c r="AO145" s="577"/>
      <c r="AP145" s="577"/>
      <c r="AQ145" s="577"/>
      <c r="AR145" s="577"/>
      <c r="AS145" s="577"/>
      <c r="AT145" s="577"/>
      <c r="AU145" s="577"/>
      <c r="AV145" s="577"/>
      <c r="AW145" s="577"/>
      <c r="AX145" s="577"/>
      <c r="AY145" s="577"/>
      <c r="AZ145" s="577"/>
    </row>
    <row r="146" spans="1:52" ht="15.75" customHeight="1" x14ac:dyDescent="0.2">
      <c r="A146" s="577"/>
      <c r="B146" s="577"/>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7"/>
      <c r="AO146" s="577"/>
      <c r="AP146" s="577"/>
      <c r="AQ146" s="577"/>
      <c r="AR146" s="577"/>
      <c r="AS146" s="577"/>
      <c r="AT146" s="577"/>
      <c r="AU146" s="577"/>
      <c r="AV146" s="577"/>
      <c r="AW146" s="577"/>
      <c r="AX146" s="577"/>
      <c r="AY146" s="577"/>
      <c r="AZ146" s="577"/>
    </row>
    <row r="147" spans="1:52" ht="15.75" customHeight="1" x14ac:dyDescent="0.2">
      <c r="A147" s="577"/>
      <c r="B147" s="577"/>
      <c r="C147" s="577"/>
      <c r="D147" s="577"/>
      <c r="E147" s="577"/>
      <c r="F147" s="577"/>
      <c r="G147" s="577"/>
      <c r="H147" s="577"/>
      <c r="I147" s="577"/>
      <c r="J147" s="577"/>
      <c r="K147" s="577"/>
      <c r="L147" s="577"/>
      <c r="M147" s="577"/>
      <c r="N147" s="577"/>
      <c r="O147" s="577"/>
      <c r="P147" s="577"/>
      <c r="Q147" s="577"/>
      <c r="R147" s="577"/>
      <c r="S147" s="577"/>
      <c r="T147" s="577"/>
      <c r="U147" s="577"/>
      <c r="V147" s="577"/>
      <c r="W147" s="577"/>
      <c r="X147" s="577"/>
      <c r="Y147" s="577"/>
      <c r="Z147" s="577"/>
      <c r="AA147" s="577"/>
      <c r="AB147" s="577"/>
      <c r="AC147" s="577"/>
      <c r="AD147" s="577"/>
      <c r="AE147" s="577"/>
      <c r="AF147" s="577"/>
      <c r="AG147" s="577"/>
      <c r="AH147" s="577"/>
      <c r="AI147" s="577"/>
      <c r="AJ147" s="577"/>
      <c r="AK147" s="577"/>
      <c r="AL147" s="577"/>
      <c r="AM147" s="577"/>
      <c r="AN147" s="577"/>
      <c r="AO147" s="577"/>
      <c r="AP147" s="577"/>
      <c r="AQ147" s="577"/>
      <c r="AR147" s="577"/>
      <c r="AS147" s="577"/>
      <c r="AT147" s="577"/>
      <c r="AU147" s="577"/>
      <c r="AV147" s="577"/>
      <c r="AW147" s="577"/>
      <c r="AX147" s="577"/>
      <c r="AY147" s="577"/>
      <c r="AZ147" s="577"/>
    </row>
    <row r="148" spans="1:52" ht="15.75" customHeight="1" x14ac:dyDescent="0.2">
      <c r="A148" s="577"/>
      <c r="B148" s="577"/>
      <c r="C148" s="577"/>
      <c r="D148" s="577"/>
      <c r="E148" s="577"/>
      <c r="F148" s="577"/>
      <c r="G148" s="577"/>
      <c r="H148" s="577"/>
      <c r="I148" s="577"/>
      <c r="J148" s="577"/>
      <c r="K148" s="577"/>
      <c r="L148" s="577"/>
      <c r="M148" s="577"/>
      <c r="N148" s="577"/>
      <c r="O148" s="577"/>
      <c r="P148" s="577"/>
      <c r="Q148" s="577"/>
      <c r="R148" s="577"/>
      <c r="S148" s="577"/>
      <c r="T148" s="577"/>
      <c r="U148" s="577"/>
      <c r="V148" s="577"/>
      <c r="W148" s="577"/>
      <c r="X148" s="577"/>
      <c r="Y148" s="577"/>
      <c r="Z148" s="577"/>
      <c r="AA148" s="577"/>
      <c r="AB148" s="577"/>
      <c r="AC148" s="577"/>
      <c r="AD148" s="577"/>
      <c r="AE148" s="577"/>
      <c r="AF148" s="577"/>
      <c r="AG148" s="577"/>
      <c r="AH148" s="577"/>
      <c r="AI148" s="577"/>
      <c r="AJ148" s="577"/>
      <c r="AK148" s="577"/>
      <c r="AL148" s="577"/>
      <c r="AM148" s="577"/>
      <c r="AN148" s="577"/>
      <c r="AO148" s="577"/>
      <c r="AP148" s="577"/>
      <c r="AQ148" s="577"/>
      <c r="AR148" s="577"/>
      <c r="AS148" s="577"/>
      <c r="AT148" s="577"/>
      <c r="AU148" s="577"/>
      <c r="AV148" s="577"/>
      <c r="AW148" s="577"/>
      <c r="AX148" s="577"/>
      <c r="AY148" s="577"/>
      <c r="AZ148" s="577"/>
    </row>
    <row r="149" spans="1:52" ht="15.75" customHeight="1" x14ac:dyDescent="0.2">
      <c r="A149" s="577"/>
      <c r="B149" s="577"/>
      <c r="C149" s="577"/>
      <c r="D149" s="577"/>
      <c r="E149" s="577"/>
      <c r="F149" s="577"/>
      <c r="G149" s="577"/>
      <c r="H149" s="577"/>
      <c r="I149" s="577"/>
      <c r="J149" s="577"/>
      <c r="K149" s="577"/>
      <c r="L149" s="577"/>
      <c r="M149" s="577"/>
      <c r="N149" s="577"/>
      <c r="O149" s="577"/>
      <c r="P149" s="577"/>
      <c r="Q149" s="577"/>
      <c r="R149" s="577"/>
      <c r="S149" s="577"/>
      <c r="T149" s="577"/>
      <c r="U149" s="577"/>
      <c r="V149" s="577"/>
      <c r="W149" s="577"/>
      <c r="X149" s="577"/>
      <c r="Y149" s="577"/>
      <c r="Z149" s="577"/>
      <c r="AA149" s="577"/>
      <c r="AB149" s="577"/>
      <c r="AC149" s="577"/>
      <c r="AD149" s="577"/>
      <c r="AE149" s="577"/>
      <c r="AF149" s="577"/>
      <c r="AG149" s="577"/>
      <c r="AH149" s="577"/>
      <c r="AI149" s="577"/>
      <c r="AJ149" s="577"/>
      <c r="AK149" s="577"/>
      <c r="AL149" s="577"/>
      <c r="AM149" s="577"/>
      <c r="AN149" s="577"/>
      <c r="AO149" s="577"/>
      <c r="AP149" s="577"/>
      <c r="AQ149" s="577"/>
      <c r="AR149" s="577"/>
      <c r="AS149" s="577"/>
      <c r="AT149" s="577"/>
      <c r="AU149" s="577"/>
      <c r="AV149" s="577"/>
      <c r="AW149" s="577"/>
      <c r="AX149" s="577"/>
      <c r="AY149" s="577"/>
      <c r="AZ149" s="577"/>
    </row>
    <row r="150" spans="1:52" ht="15.75" customHeight="1" x14ac:dyDescent="0.2">
      <c r="A150" s="577"/>
      <c r="B150" s="577"/>
      <c r="C150" s="577"/>
      <c r="D150" s="577"/>
      <c r="E150" s="577"/>
      <c r="F150" s="577"/>
      <c r="G150" s="577"/>
      <c r="H150" s="577"/>
      <c r="I150" s="577"/>
      <c r="J150" s="577"/>
      <c r="K150" s="577"/>
      <c r="L150" s="577"/>
      <c r="M150" s="577"/>
      <c r="N150" s="577"/>
      <c r="O150" s="577"/>
      <c r="P150" s="577"/>
      <c r="Q150" s="577"/>
      <c r="R150" s="577"/>
      <c r="S150" s="577"/>
      <c r="T150" s="577"/>
      <c r="U150" s="577"/>
      <c r="V150" s="577"/>
      <c r="W150" s="577"/>
      <c r="X150" s="577"/>
      <c r="Y150" s="577"/>
      <c r="Z150" s="577"/>
      <c r="AA150" s="577"/>
      <c r="AB150" s="577"/>
      <c r="AC150" s="577"/>
      <c r="AD150" s="577"/>
      <c r="AE150" s="577"/>
      <c r="AF150" s="577"/>
      <c r="AG150" s="577"/>
      <c r="AH150" s="577"/>
      <c r="AI150" s="577"/>
      <c r="AJ150" s="577"/>
      <c r="AK150" s="577"/>
      <c r="AL150" s="577"/>
      <c r="AM150" s="577"/>
      <c r="AN150" s="577"/>
      <c r="AO150" s="577"/>
      <c r="AP150" s="577"/>
      <c r="AQ150" s="577"/>
      <c r="AR150" s="577"/>
      <c r="AS150" s="577"/>
      <c r="AT150" s="577"/>
      <c r="AU150" s="577"/>
      <c r="AV150" s="577"/>
      <c r="AW150" s="577"/>
      <c r="AX150" s="577"/>
      <c r="AY150" s="577"/>
      <c r="AZ150" s="577"/>
    </row>
    <row r="151" spans="1:52" ht="15.75" customHeight="1" x14ac:dyDescent="0.2">
      <c r="A151" s="577"/>
      <c r="B151" s="577"/>
      <c r="C151" s="577"/>
      <c r="D151" s="577"/>
      <c r="E151" s="577"/>
      <c r="F151" s="577"/>
      <c r="G151" s="577"/>
      <c r="H151" s="577"/>
      <c r="I151" s="577"/>
      <c r="J151" s="577"/>
      <c r="K151" s="577"/>
      <c r="L151" s="577"/>
      <c r="M151" s="577"/>
      <c r="N151" s="577"/>
      <c r="O151" s="577"/>
      <c r="P151" s="577"/>
      <c r="Q151" s="577"/>
      <c r="R151" s="577"/>
      <c r="S151" s="577"/>
      <c r="T151" s="577"/>
      <c r="U151" s="577"/>
      <c r="V151" s="577"/>
      <c r="W151" s="577"/>
      <c r="X151" s="577"/>
      <c r="Y151" s="577"/>
      <c r="Z151" s="577"/>
      <c r="AA151" s="577"/>
      <c r="AB151" s="577"/>
      <c r="AC151" s="577"/>
      <c r="AD151" s="577"/>
      <c r="AE151" s="577"/>
      <c r="AF151" s="577"/>
      <c r="AG151" s="577"/>
      <c r="AH151" s="577"/>
      <c r="AI151" s="577"/>
      <c r="AJ151" s="577"/>
      <c r="AK151" s="577"/>
      <c r="AL151" s="577"/>
      <c r="AM151" s="577"/>
      <c r="AN151" s="577"/>
      <c r="AO151" s="577"/>
      <c r="AP151" s="577"/>
      <c r="AQ151" s="577"/>
      <c r="AR151" s="577"/>
      <c r="AS151" s="577"/>
      <c r="AT151" s="577"/>
      <c r="AU151" s="577"/>
      <c r="AV151" s="577"/>
      <c r="AW151" s="577"/>
      <c r="AX151" s="577"/>
      <c r="AY151" s="577"/>
      <c r="AZ151" s="577"/>
    </row>
    <row r="152" spans="1:52" ht="15.75" customHeight="1" x14ac:dyDescent="0.2">
      <c r="A152" s="577"/>
      <c r="B152" s="577"/>
      <c r="C152" s="577"/>
      <c r="D152" s="577"/>
      <c r="E152" s="577"/>
      <c r="F152" s="577"/>
      <c r="G152" s="577"/>
      <c r="H152" s="577"/>
      <c r="I152" s="577"/>
      <c r="J152" s="577"/>
      <c r="K152" s="577"/>
      <c r="L152" s="577"/>
      <c r="M152" s="577"/>
      <c r="N152" s="577"/>
      <c r="O152" s="577"/>
      <c r="P152" s="577"/>
      <c r="Q152" s="577"/>
      <c r="R152" s="577"/>
      <c r="S152" s="577"/>
      <c r="T152" s="577"/>
      <c r="U152" s="577"/>
      <c r="V152" s="577"/>
      <c r="W152" s="577"/>
      <c r="X152" s="577"/>
      <c r="Y152" s="577"/>
      <c r="Z152" s="577"/>
      <c r="AA152" s="577"/>
      <c r="AB152" s="577"/>
      <c r="AC152" s="577"/>
      <c r="AD152" s="577"/>
      <c r="AE152" s="577"/>
      <c r="AF152" s="577"/>
      <c r="AG152" s="577"/>
      <c r="AH152" s="577"/>
      <c r="AI152" s="577"/>
      <c r="AJ152" s="577"/>
      <c r="AK152" s="577"/>
      <c r="AL152" s="577"/>
      <c r="AM152" s="577"/>
      <c r="AN152" s="577"/>
      <c r="AO152" s="577"/>
      <c r="AP152" s="577"/>
      <c r="AQ152" s="577"/>
      <c r="AR152" s="577"/>
      <c r="AS152" s="577"/>
      <c r="AT152" s="577"/>
      <c r="AU152" s="577"/>
      <c r="AV152" s="577"/>
      <c r="AW152" s="577"/>
      <c r="AX152" s="577"/>
      <c r="AY152" s="577"/>
      <c r="AZ152" s="577"/>
    </row>
    <row r="153" spans="1:52" ht="15.75" customHeight="1" x14ac:dyDescent="0.2">
      <c r="A153" s="577"/>
      <c r="B153" s="577"/>
      <c r="C153" s="577"/>
      <c r="D153" s="577"/>
      <c r="E153" s="577"/>
      <c r="F153" s="577"/>
      <c r="G153" s="577"/>
      <c r="H153" s="577"/>
      <c r="I153" s="577"/>
      <c r="J153" s="577"/>
      <c r="K153" s="577"/>
      <c r="L153" s="577"/>
      <c r="M153" s="577"/>
      <c r="N153" s="577"/>
      <c r="O153" s="577"/>
      <c r="P153" s="577"/>
      <c r="Q153" s="577"/>
      <c r="R153" s="577"/>
      <c r="S153" s="577"/>
      <c r="T153" s="577"/>
      <c r="U153" s="577"/>
      <c r="V153" s="577"/>
      <c r="W153" s="577"/>
      <c r="X153" s="577"/>
      <c r="Y153" s="577"/>
      <c r="Z153" s="577"/>
      <c r="AA153" s="577"/>
      <c r="AB153" s="577"/>
      <c r="AC153" s="577"/>
      <c r="AD153" s="577"/>
      <c r="AE153" s="577"/>
      <c r="AF153" s="577"/>
      <c r="AG153" s="577"/>
      <c r="AH153" s="577"/>
      <c r="AI153" s="577"/>
      <c r="AJ153" s="577"/>
      <c r="AK153" s="577"/>
      <c r="AL153" s="577"/>
      <c r="AM153" s="577"/>
      <c r="AN153" s="577"/>
      <c r="AO153" s="577"/>
      <c r="AP153" s="577"/>
      <c r="AQ153" s="577"/>
      <c r="AR153" s="577"/>
      <c r="AS153" s="577"/>
      <c r="AT153" s="577"/>
      <c r="AU153" s="577"/>
      <c r="AV153" s="577"/>
      <c r="AW153" s="577"/>
      <c r="AX153" s="577"/>
      <c r="AY153" s="577"/>
      <c r="AZ153" s="577"/>
    </row>
    <row r="154" spans="1:52" ht="15.75" customHeight="1" x14ac:dyDescent="0.2">
      <c r="A154" s="577"/>
      <c r="B154" s="577"/>
      <c r="C154" s="577"/>
      <c r="D154" s="577"/>
      <c r="E154" s="577"/>
      <c r="F154" s="577"/>
      <c r="G154" s="577"/>
      <c r="H154" s="577"/>
      <c r="I154" s="577"/>
      <c r="J154" s="577"/>
      <c r="K154" s="577"/>
      <c r="L154" s="577"/>
      <c r="M154" s="577"/>
      <c r="N154" s="577"/>
      <c r="O154" s="577"/>
      <c r="P154" s="577"/>
      <c r="Q154" s="577"/>
      <c r="R154" s="577"/>
      <c r="S154" s="577"/>
      <c r="T154" s="577"/>
      <c r="U154" s="577"/>
      <c r="V154" s="577"/>
      <c r="W154" s="577"/>
      <c r="X154" s="577"/>
      <c r="Y154" s="577"/>
      <c r="Z154" s="577"/>
      <c r="AA154" s="577"/>
      <c r="AB154" s="577"/>
      <c r="AC154" s="577"/>
      <c r="AD154" s="577"/>
      <c r="AE154" s="577"/>
      <c r="AF154" s="577"/>
      <c r="AG154" s="577"/>
      <c r="AH154" s="577"/>
      <c r="AI154" s="577"/>
      <c r="AJ154" s="577"/>
      <c r="AK154" s="577"/>
      <c r="AL154" s="577"/>
      <c r="AM154" s="577"/>
      <c r="AN154" s="577"/>
      <c r="AO154" s="577"/>
      <c r="AP154" s="577"/>
      <c r="AQ154" s="577"/>
      <c r="AR154" s="577"/>
      <c r="AS154" s="577"/>
      <c r="AT154" s="577"/>
      <c r="AU154" s="577"/>
      <c r="AV154" s="577"/>
      <c r="AW154" s="577"/>
      <c r="AX154" s="577"/>
      <c r="AY154" s="577"/>
      <c r="AZ154" s="577"/>
    </row>
    <row r="155" spans="1:52" ht="15.75" customHeight="1" x14ac:dyDescent="0.2">
      <c r="A155" s="577"/>
      <c r="B155" s="577"/>
      <c r="C155" s="577"/>
      <c r="D155" s="577"/>
      <c r="E155" s="577"/>
      <c r="F155" s="577"/>
      <c r="G155" s="577"/>
      <c r="H155" s="577"/>
      <c r="I155" s="577"/>
      <c r="J155" s="577"/>
      <c r="K155" s="577"/>
      <c r="L155" s="577"/>
      <c r="M155" s="577"/>
      <c r="N155" s="577"/>
      <c r="O155" s="577"/>
      <c r="P155" s="577"/>
      <c r="Q155" s="577"/>
      <c r="R155" s="577"/>
      <c r="S155" s="577"/>
      <c r="T155" s="577"/>
      <c r="U155" s="577"/>
      <c r="V155" s="577"/>
      <c r="W155" s="577"/>
      <c r="X155" s="577"/>
      <c r="Y155" s="577"/>
      <c r="Z155" s="577"/>
      <c r="AA155" s="577"/>
      <c r="AB155" s="577"/>
      <c r="AC155" s="577"/>
      <c r="AD155" s="577"/>
      <c r="AE155" s="577"/>
      <c r="AF155" s="577"/>
      <c r="AG155" s="577"/>
      <c r="AH155" s="577"/>
      <c r="AI155" s="577"/>
      <c r="AJ155" s="577"/>
      <c r="AK155" s="577"/>
      <c r="AL155" s="577"/>
      <c r="AM155" s="577"/>
      <c r="AN155" s="577"/>
      <c r="AO155" s="577"/>
      <c r="AP155" s="577"/>
      <c r="AQ155" s="577"/>
      <c r="AR155" s="577"/>
      <c r="AS155" s="577"/>
      <c r="AT155" s="577"/>
      <c r="AU155" s="577"/>
      <c r="AV155" s="577"/>
      <c r="AW155" s="577"/>
      <c r="AX155" s="577"/>
      <c r="AY155" s="577"/>
      <c r="AZ155" s="577"/>
    </row>
    <row r="156" spans="1:52" ht="15.75" customHeight="1" x14ac:dyDescent="0.2">
      <c r="A156" s="577"/>
      <c r="B156" s="577"/>
      <c r="C156" s="577"/>
      <c r="D156" s="577"/>
      <c r="E156" s="577"/>
      <c r="F156" s="577"/>
      <c r="G156" s="577"/>
      <c r="H156" s="577"/>
      <c r="I156" s="577"/>
      <c r="J156" s="577"/>
      <c r="K156" s="577"/>
      <c r="L156" s="577"/>
      <c r="M156" s="577"/>
      <c r="N156" s="577"/>
      <c r="O156" s="577"/>
      <c r="P156" s="577"/>
      <c r="Q156" s="577"/>
      <c r="R156" s="577"/>
      <c r="S156" s="577"/>
      <c r="T156" s="577"/>
      <c r="U156" s="577"/>
      <c r="V156" s="577"/>
      <c r="W156" s="577"/>
      <c r="X156" s="577"/>
      <c r="Y156" s="577"/>
      <c r="Z156" s="577"/>
      <c r="AA156" s="577"/>
      <c r="AB156" s="577"/>
      <c r="AC156" s="577"/>
      <c r="AD156" s="577"/>
      <c r="AE156" s="577"/>
      <c r="AF156" s="577"/>
      <c r="AG156" s="577"/>
      <c r="AH156" s="577"/>
      <c r="AI156" s="577"/>
      <c r="AJ156" s="577"/>
      <c r="AK156" s="577"/>
      <c r="AL156" s="577"/>
      <c r="AM156" s="577"/>
      <c r="AN156" s="577"/>
      <c r="AO156" s="577"/>
      <c r="AP156" s="577"/>
      <c r="AQ156" s="577"/>
      <c r="AR156" s="577"/>
      <c r="AS156" s="577"/>
      <c r="AT156" s="577"/>
      <c r="AU156" s="577"/>
      <c r="AV156" s="577"/>
      <c r="AW156" s="577"/>
      <c r="AX156" s="577"/>
      <c r="AY156" s="577"/>
      <c r="AZ156" s="577"/>
    </row>
    <row r="157" spans="1:52" ht="15.75" customHeight="1" x14ac:dyDescent="0.2">
      <c r="A157" s="577"/>
      <c r="B157" s="577"/>
      <c r="C157" s="577"/>
      <c r="D157" s="577"/>
      <c r="E157" s="577"/>
      <c r="F157" s="577"/>
      <c r="G157" s="577"/>
      <c r="H157" s="577"/>
      <c r="I157" s="577"/>
      <c r="J157" s="577"/>
      <c r="K157" s="577"/>
      <c r="L157" s="577"/>
      <c r="M157" s="577"/>
      <c r="N157" s="577"/>
      <c r="O157" s="577"/>
      <c r="P157" s="577"/>
      <c r="Q157" s="577"/>
      <c r="R157" s="577"/>
      <c r="S157" s="577"/>
      <c r="T157" s="577"/>
      <c r="U157" s="577"/>
      <c r="V157" s="577"/>
      <c r="W157" s="577"/>
      <c r="X157" s="577"/>
      <c r="Y157" s="577"/>
      <c r="Z157" s="577"/>
      <c r="AA157" s="577"/>
      <c r="AB157" s="577"/>
      <c r="AC157" s="577"/>
      <c r="AD157" s="577"/>
      <c r="AE157" s="577"/>
      <c r="AF157" s="577"/>
      <c r="AG157" s="577"/>
      <c r="AH157" s="577"/>
      <c r="AI157" s="577"/>
      <c r="AJ157" s="577"/>
      <c r="AK157" s="577"/>
      <c r="AL157" s="577"/>
      <c r="AM157" s="577"/>
      <c r="AN157" s="577"/>
      <c r="AO157" s="577"/>
      <c r="AP157" s="577"/>
      <c r="AQ157" s="577"/>
      <c r="AR157" s="577"/>
      <c r="AS157" s="577"/>
      <c r="AT157" s="577"/>
      <c r="AU157" s="577"/>
      <c r="AV157" s="577"/>
      <c r="AW157" s="577"/>
      <c r="AX157" s="577"/>
      <c r="AY157" s="577"/>
      <c r="AZ157" s="577"/>
    </row>
    <row r="158" spans="1:52" ht="15.75" customHeight="1" x14ac:dyDescent="0.2">
      <c r="A158" s="577"/>
      <c r="B158" s="577"/>
      <c r="C158" s="577"/>
      <c r="D158" s="577"/>
      <c r="E158" s="577"/>
      <c r="F158" s="577"/>
      <c r="G158" s="577"/>
      <c r="H158" s="577"/>
      <c r="I158" s="577"/>
      <c r="J158" s="577"/>
      <c r="K158" s="577"/>
      <c r="L158" s="577"/>
      <c r="M158" s="577"/>
      <c r="N158" s="577"/>
      <c r="O158" s="577"/>
      <c r="P158" s="577"/>
      <c r="Q158" s="577"/>
      <c r="R158" s="577"/>
      <c r="S158" s="577"/>
      <c r="T158" s="577"/>
      <c r="U158" s="577"/>
      <c r="V158" s="577"/>
      <c r="W158" s="577"/>
      <c r="X158" s="577"/>
      <c r="Y158" s="577"/>
      <c r="Z158" s="577"/>
      <c r="AA158" s="577"/>
      <c r="AB158" s="577"/>
      <c r="AC158" s="577"/>
      <c r="AD158" s="577"/>
      <c r="AE158" s="577"/>
      <c r="AF158" s="577"/>
      <c r="AG158" s="577"/>
      <c r="AH158" s="577"/>
      <c r="AI158" s="577"/>
      <c r="AJ158" s="577"/>
      <c r="AK158" s="577"/>
      <c r="AL158" s="577"/>
      <c r="AM158" s="577"/>
      <c r="AN158" s="577"/>
      <c r="AO158" s="577"/>
      <c r="AP158" s="577"/>
      <c r="AQ158" s="577"/>
      <c r="AR158" s="577"/>
      <c r="AS158" s="577"/>
      <c r="AT158" s="577"/>
      <c r="AU158" s="577"/>
      <c r="AV158" s="577"/>
      <c r="AW158" s="577"/>
      <c r="AX158" s="577"/>
      <c r="AY158" s="577"/>
      <c r="AZ158" s="577"/>
    </row>
    <row r="159" spans="1:52" ht="15.75" customHeight="1" x14ac:dyDescent="0.2">
      <c r="A159" s="577"/>
      <c r="B159" s="577"/>
      <c r="C159" s="577"/>
      <c r="D159" s="577"/>
      <c r="E159" s="577"/>
      <c r="F159" s="577"/>
      <c r="G159" s="577"/>
      <c r="H159" s="577"/>
      <c r="I159" s="577"/>
      <c r="J159" s="577"/>
      <c r="K159" s="577"/>
      <c r="L159" s="577"/>
      <c r="M159" s="577"/>
      <c r="N159" s="577"/>
      <c r="O159" s="577"/>
      <c r="P159" s="577"/>
      <c r="Q159" s="577"/>
      <c r="R159" s="577"/>
      <c r="S159" s="577"/>
      <c r="T159" s="577"/>
      <c r="U159" s="577"/>
      <c r="V159" s="577"/>
      <c r="W159" s="577"/>
      <c r="X159" s="577"/>
      <c r="Y159" s="577"/>
      <c r="Z159" s="577"/>
      <c r="AA159" s="577"/>
      <c r="AB159" s="577"/>
      <c r="AC159" s="577"/>
      <c r="AD159" s="577"/>
      <c r="AE159" s="577"/>
      <c r="AF159" s="577"/>
      <c r="AG159" s="577"/>
      <c r="AH159" s="577"/>
      <c r="AI159" s="577"/>
      <c r="AJ159" s="577"/>
      <c r="AK159" s="577"/>
      <c r="AL159" s="577"/>
      <c r="AM159" s="577"/>
      <c r="AN159" s="577"/>
      <c r="AO159" s="577"/>
      <c r="AP159" s="577"/>
      <c r="AQ159" s="577"/>
      <c r="AR159" s="577"/>
      <c r="AS159" s="577"/>
      <c r="AT159" s="577"/>
      <c r="AU159" s="577"/>
      <c r="AV159" s="577"/>
      <c r="AW159" s="577"/>
      <c r="AX159" s="577"/>
      <c r="AY159" s="577"/>
      <c r="AZ159" s="577"/>
    </row>
    <row r="160" spans="1:52" ht="15.75" customHeight="1" x14ac:dyDescent="0.2">
      <c r="A160" s="577"/>
      <c r="B160" s="577"/>
      <c r="C160" s="577"/>
      <c r="D160" s="577"/>
      <c r="E160" s="577"/>
      <c r="F160" s="577"/>
      <c r="G160" s="577"/>
      <c r="H160" s="577"/>
      <c r="I160" s="577"/>
      <c r="J160" s="577"/>
      <c r="K160" s="577"/>
      <c r="L160" s="577"/>
      <c r="M160" s="577"/>
      <c r="N160" s="577"/>
      <c r="O160" s="577"/>
      <c r="P160" s="577"/>
      <c r="Q160" s="577"/>
      <c r="R160" s="577"/>
      <c r="S160" s="577"/>
      <c r="T160" s="577"/>
      <c r="U160" s="577"/>
      <c r="V160" s="577"/>
      <c r="W160" s="577"/>
      <c r="X160" s="577"/>
      <c r="Y160" s="577"/>
      <c r="Z160" s="577"/>
      <c r="AA160" s="577"/>
      <c r="AB160" s="577"/>
      <c r="AC160" s="577"/>
      <c r="AD160" s="577"/>
      <c r="AE160" s="577"/>
      <c r="AF160" s="577"/>
      <c r="AG160" s="577"/>
      <c r="AH160" s="577"/>
      <c r="AI160" s="577"/>
      <c r="AJ160" s="577"/>
      <c r="AK160" s="577"/>
      <c r="AL160" s="577"/>
      <c r="AM160" s="577"/>
      <c r="AN160" s="577"/>
      <c r="AO160" s="577"/>
      <c r="AP160" s="577"/>
      <c r="AQ160" s="577"/>
      <c r="AR160" s="577"/>
      <c r="AS160" s="577"/>
      <c r="AT160" s="577"/>
      <c r="AU160" s="577"/>
      <c r="AV160" s="577"/>
      <c r="AW160" s="577"/>
      <c r="AX160" s="577"/>
      <c r="AY160" s="577"/>
      <c r="AZ160" s="577"/>
    </row>
    <row r="161" spans="1:52" ht="15.75" customHeight="1" x14ac:dyDescent="0.2">
      <c r="A161" s="577"/>
      <c r="B161" s="577"/>
      <c r="C161" s="577"/>
      <c r="D161" s="577"/>
      <c r="E161" s="577"/>
      <c r="F161" s="577"/>
      <c r="G161" s="577"/>
      <c r="H161" s="577"/>
      <c r="I161" s="577"/>
      <c r="J161" s="577"/>
      <c r="K161" s="577"/>
      <c r="L161" s="577"/>
      <c r="M161" s="577"/>
      <c r="N161" s="577"/>
      <c r="O161" s="577"/>
      <c r="P161" s="577"/>
      <c r="Q161" s="577"/>
      <c r="R161" s="577"/>
      <c r="S161" s="577"/>
      <c r="T161" s="577"/>
      <c r="U161" s="577"/>
      <c r="V161" s="577"/>
      <c r="W161" s="577"/>
      <c r="X161" s="577"/>
      <c r="Y161" s="577"/>
      <c r="Z161" s="577"/>
      <c r="AA161" s="577"/>
      <c r="AB161" s="577"/>
      <c r="AC161" s="577"/>
      <c r="AD161" s="577"/>
      <c r="AE161" s="577"/>
      <c r="AF161" s="577"/>
      <c r="AG161" s="577"/>
      <c r="AH161" s="577"/>
      <c r="AI161" s="577"/>
      <c r="AJ161" s="577"/>
      <c r="AK161" s="577"/>
      <c r="AL161" s="577"/>
      <c r="AM161" s="577"/>
      <c r="AN161" s="577"/>
      <c r="AO161" s="577"/>
      <c r="AP161" s="577"/>
      <c r="AQ161" s="577"/>
      <c r="AR161" s="577"/>
      <c r="AS161" s="577"/>
      <c r="AT161" s="577"/>
      <c r="AU161" s="577"/>
      <c r="AV161" s="577"/>
      <c r="AW161" s="577"/>
      <c r="AX161" s="577"/>
      <c r="AY161" s="577"/>
      <c r="AZ161" s="577"/>
    </row>
    <row r="162" spans="1:52" ht="15.75" customHeight="1" x14ac:dyDescent="0.2">
      <c r="A162" s="577"/>
      <c r="B162" s="577"/>
      <c r="C162" s="577"/>
      <c r="D162" s="577"/>
      <c r="E162" s="577"/>
      <c r="F162" s="577"/>
      <c r="G162" s="577"/>
      <c r="H162" s="577"/>
      <c r="I162" s="577"/>
      <c r="J162" s="577"/>
      <c r="K162" s="577"/>
      <c r="L162" s="577"/>
      <c r="M162" s="577"/>
      <c r="N162" s="577"/>
      <c r="O162" s="577"/>
      <c r="P162" s="577"/>
      <c r="Q162" s="577"/>
      <c r="R162" s="577"/>
      <c r="S162" s="577"/>
      <c r="T162" s="577"/>
      <c r="U162" s="577"/>
      <c r="V162" s="577"/>
      <c r="W162" s="577"/>
      <c r="X162" s="577"/>
      <c r="Y162" s="577"/>
      <c r="Z162" s="577"/>
      <c r="AA162" s="577"/>
      <c r="AB162" s="577"/>
      <c r="AC162" s="577"/>
      <c r="AD162" s="577"/>
      <c r="AE162" s="577"/>
      <c r="AF162" s="577"/>
      <c r="AG162" s="577"/>
      <c r="AH162" s="577"/>
      <c r="AI162" s="577"/>
      <c r="AJ162" s="577"/>
      <c r="AK162" s="577"/>
      <c r="AL162" s="577"/>
      <c r="AM162" s="577"/>
      <c r="AN162" s="577"/>
      <c r="AO162" s="577"/>
      <c r="AP162" s="577"/>
      <c r="AQ162" s="577"/>
      <c r="AR162" s="577"/>
      <c r="AS162" s="577"/>
      <c r="AT162" s="577"/>
      <c r="AU162" s="577"/>
      <c r="AV162" s="577"/>
      <c r="AW162" s="577"/>
      <c r="AX162" s="577"/>
      <c r="AY162" s="577"/>
      <c r="AZ162" s="577"/>
    </row>
    <row r="163" spans="1:52" ht="15.75" customHeight="1" x14ac:dyDescent="0.2">
      <c r="A163" s="577"/>
      <c r="B163" s="577"/>
      <c r="C163" s="577"/>
      <c r="D163" s="577"/>
      <c r="E163" s="577"/>
      <c r="F163" s="577"/>
      <c r="G163" s="577"/>
      <c r="H163" s="577"/>
      <c r="I163" s="577"/>
      <c r="J163" s="577"/>
      <c r="K163" s="577"/>
      <c r="L163" s="577"/>
      <c r="M163" s="577"/>
      <c r="N163" s="577"/>
      <c r="O163" s="577"/>
      <c r="P163" s="577"/>
      <c r="Q163" s="577"/>
      <c r="R163" s="577"/>
      <c r="S163" s="577"/>
      <c r="T163" s="577"/>
      <c r="U163" s="577"/>
      <c r="V163" s="577"/>
      <c r="W163" s="577"/>
      <c r="X163" s="577"/>
      <c r="Y163" s="577"/>
      <c r="Z163" s="577"/>
      <c r="AA163" s="577"/>
      <c r="AB163" s="577"/>
      <c r="AC163" s="577"/>
      <c r="AD163" s="577"/>
      <c r="AE163" s="577"/>
      <c r="AF163" s="577"/>
      <c r="AG163" s="577"/>
      <c r="AH163" s="577"/>
      <c r="AI163" s="577"/>
      <c r="AJ163" s="577"/>
      <c r="AK163" s="577"/>
      <c r="AL163" s="577"/>
      <c r="AM163" s="577"/>
      <c r="AN163" s="577"/>
      <c r="AO163" s="577"/>
      <c r="AP163" s="577"/>
      <c r="AQ163" s="577"/>
      <c r="AR163" s="577"/>
      <c r="AS163" s="577"/>
      <c r="AT163" s="577"/>
      <c r="AU163" s="577"/>
      <c r="AV163" s="577"/>
      <c r="AW163" s="577"/>
      <c r="AX163" s="577"/>
      <c r="AY163" s="577"/>
      <c r="AZ163" s="577"/>
    </row>
    <row r="164" spans="1:52" ht="15.75" customHeight="1" x14ac:dyDescent="0.2">
      <c r="A164" s="577"/>
      <c r="B164" s="577"/>
      <c r="C164" s="577"/>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577"/>
      <c r="AV164" s="577"/>
      <c r="AW164" s="577"/>
      <c r="AX164" s="577"/>
      <c r="AY164" s="577"/>
      <c r="AZ164" s="577"/>
    </row>
    <row r="165" spans="1:52" ht="15.75" customHeight="1" x14ac:dyDescent="0.2">
      <c r="A165" s="577"/>
      <c r="B165" s="577"/>
      <c r="C165" s="577"/>
      <c r="D165" s="577"/>
      <c r="E165" s="577"/>
      <c r="F165" s="577"/>
      <c r="G165" s="577"/>
      <c r="H165" s="577"/>
      <c r="I165" s="577"/>
      <c r="J165" s="577"/>
      <c r="K165" s="577"/>
      <c r="L165" s="577"/>
      <c r="M165" s="577"/>
      <c r="N165" s="577"/>
      <c r="O165" s="577"/>
      <c r="P165" s="577"/>
      <c r="Q165" s="577"/>
      <c r="R165" s="577"/>
      <c r="S165" s="577"/>
      <c r="T165" s="577"/>
      <c r="U165" s="577"/>
      <c r="V165" s="577"/>
      <c r="W165" s="577"/>
      <c r="X165" s="57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577"/>
      <c r="AV165" s="577"/>
      <c r="AW165" s="577"/>
      <c r="AX165" s="577"/>
      <c r="AY165" s="577"/>
      <c r="AZ165" s="577"/>
    </row>
    <row r="166" spans="1:52" ht="15.75" customHeight="1" x14ac:dyDescent="0.2">
      <c r="A166" s="577"/>
      <c r="B166" s="577"/>
      <c r="C166" s="577"/>
      <c r="D166" s="577"/>
      <c r="E166" s="577"/>
      <c r="F166" s="577"/>
      <c r="G166" s="577"/>
      <c r="H166" s="577"/>
      <c r="I166" s="577"/>
      <c r="J166" s="577"/>
      <c r="K166" s="577"/>
      <c r="L166" s="577"/>
      <c r="M166" s="577"/>
      <c r="N166" s="577"/>
      <c r="O166" s="577"/>
      <c r="P166" s="577"/>
      <c r="Q166" s="577"/>
      <c r="R166" s="577"/>
      <c r="S166" s="577"/>
      <c r="T166" s="577"/>
      <c r="U166" s="577"/>
      <c r="V166" s="577"/>
      <c r="W166" s="577"/>
      <c r="X166" s="577"/>
      <c r="Y166" s="577"/>
      <c r="Z166" s="577"/>
      <c r="AA166" s="577"/>
      <c r="AB166" s="577"/>
      <c r="AC166" s="577"/>
      <c r="AD166" s="577"/>
      <c r="AE166" s="577"/>
      <c r="AF166" s="577"/>
      <c r="AG166" s="577"/>
      <c r="AH166" s="577"/>
      <c r="AI166" s="577"/>
      <c r="AJ166" s="577"/>
      <c r="AK166" s="577"/>
      <c r="AL166" s="577"/>
      <c r="AM166" s="577"/>
      <c r="AN166" s="577"/>
      <c r="AO166" s="577"/>
      <c r="AP166" s="577"/>
      <c r="AQ166" s="577"/>
      <c r="AR166" s="577"/>
      <c r="AS166" s="577"/>
      <c r="AT166" s="577"/>
      <c r="AU166" s="577"/>
      <c r="AV166" s="577"/>
      <c r="AW166" s="577"/>
      <c r="AX166" s="577"/>
      <c r="AY166" s="577"/>
      <c r="AZ166" s="577"/>
    </row>
    <row r="167" spans="1:52" ht="15.75" customHeight="1" x14ac:dyDescent="0.2">
      <c r="A167" s="577"/>
      <c r="B167" s="577"/>
      <c r="C167" s="577"/>
      <c r="D167" s="577"/>
      <c r="E167" s="577"/>
      <c r="F167" s="577"/>
      <c r="G167" s="577"/>
      <c r="H167" s="577"/>
      <c r="I167" s="577"/>
      <c r="J167" s="577"/>
      <c r="K167" s="577"/>
      <c r="L167" s="577"/>
      <c r="M167" s="577"/>
      <c r="N167" s="577"/>
      <c r="O167" s="577"/>
      <c r="P167" s="577"/>
      <c r="Q167" s="577"/>
      <c r="R167" s="577"/>
      <c r="S167" s="577"/>
      <c r="T167" s="577"/>
      <c r="U167" s="577"/>
      <c r="V167" s="577"/>
      <c r="W167" s="577"/>
      <c r="X167" s="577"/>
      <c r="Y167" s="577"/>
      <c r="Z167" s="577"/>
      <c r="AA167" s="577"/>
      <c r="AB167" s="577"/>
      <c r="AC167" s="577"/>
      <c r="AD167" s="577"/>
      <c r="AE167" s="577"/>
      <c r="AF167" s="577"/>
      <c r="AG167" s="577"/>
      <c r="AH167" s="577"/>
      <c r="AI167" s="577"/>
      <c r="AJ167" s="577"/>
      <c r="AK167" s="577"/>
      <c r="AL167" s="577"/>
      <c r="AM167" s="577"/>
      <c r="AN167" s="577"/>
      <c r="AO167" s="577"/>
      <c r="AP167" s="577"/>
      <c r="AQ167" s="577"/>
      <c r="AR167" s="577"/>
      <c r="AS167" s="577"/>
      <c r="AT167" s="577"/>
      <c r="AU167" s="577"/>
      <c r="AV167" s="577"/>
      <c r="AW167" s="577"/>
      <c r="AX167" s="577"/>
      <c r="AY167" s="577"/>
      <c r="AZ167" s="577"/>
    </row>
    <row r="168" spans="1:52" ht="15.75" customHeight="1" x14ac:dyDescent="0.2">
      <c r="A168" s="577"/>
      <c r="B168" s="577"/>
      <c r="C168" s="577"/>
      <c r="D168" s="577"/>
      <c r="E168" s="577"/>
      <c r="F168" s="577"/>
      <c r="G168" s="577"/>
      <c r="H168" s="577"/>
      <c r="I168" s="577"/>
      <c r="J168" s="577"/>
      <c r="K168" s="577"/>
      <c r="L168" s="577"/>
      <c r="M168" s="577"/>
      <c r="N168" s="577"/>
      <c r="O168" s="577"/>
      <c r="P168" s="577"/>
      <c r="Q168" s="577"/>
      <c r="R168" s="577"/>
      <c r="S168" s="577"/>
      <c r="T168" s="577"/>
      <c r="U168" s="577"/>
      <c r="V168" s="577"/>
      <c r="W168" s="577"/>
      <c r="X168" s="577"/>
      <c r="Y168" s="577"/>
      <c r="Z168" s="577"/>
      <c r="AA168" s="577"/>
      <c r="AB168" s="577"/>
      <c r="AC168" s="577"/>
      <c r="AD168" s="577"/>
      <c r="AE168" s="577"/>
      <c r="AF168" s="577"/>
      <c r="AG168" s="577"/>
      <c r="AH168" s="577"/>
      <c r="AI168" s="577"/>
      <c r="AJ168" s="577"/>
      <c r="AK168" s="577"/>
      <c r="AL168" s="577"/>
      <c r="AM168" s="577"/>
      <c r="AN168" s="577"/>
      <c r="AO168" s="577"/>
      <c r="AP168" s="577"/>
      <c r="AQ168" s="577"/>
      <c r="AR168" s="577"/>
      <c r="AS168" s="577"/>
      <c r="AT168" s="577"/>
      <c r="AU168" s="577"/>
      <c r="AV168" s="577"/>
      <c r="AW168" s="577"/>
      <c r="AX168" s="577"/>
      <c r="AY168" s="577"/>
      <c r="AZ168" s="577"/>
    </row>
    <row r="169" spans="1:52" ht="15.75" customHeight="1" x14ac:dyDescent="0.2">
      <c r="A169" s="577"/>
      <c r="B169" s="577"/>
      <c r="C169" s="577"/>
      <c r="D169" s="577"/>
      <c r="E169" s="577"/>
      <c r="F169" s="577"/>
      <c r="G169" s="577"/>
      <c r="H169" s="577"/>
      <c r="I169" s="577"/>
      <c r="J169" s="577"/>
      <c r="K169" s="577"/>
      <c r="L169" s="577"/>
      <c r="M169" s="577"/>
      <c r="N169" s="577"/>
      <c r="O169" s="577"/>
      <c r="P169" s="577"/>
      <c r="Q169" s="577"/>
      <c r="R169" s="577"/>
      <c r="S169" s="577"/>
      <c r="T169" s="577"/>
      <c r="U169" s="577"/>
      <c r="V169" s="577"/>
      <c r="W169" s="577"/>
      <c r="X169" s="577"/>
      <c r="Y169" s="577"/>
      <c r="Z169" s="577"/>
      <c r="AA169" s="577"/>
      <c r="AB169" s="577"/>
      <c r="AC169" s="577"/>
      <c r="AD169" s="577"/>
      <c r="AE169" s="577"/>
      <c r="AF169" s="577"/>
      <c r="AG169" s="577"/>
      <c r="AH169" s="577"/>
      <c r="AI169" s="577"/>
      <c r="AJ169" s="577"/>
      <c r="AK169" s="577"/>
      <c r="AL169" s="577"/>
      <c r="AM169" s="577"/>
      <c r="AN169" s="577"/>
      <c r="AO169" s="577"/>
      <c r="AP169" s="577"/>
      <c r="AQ169" s="577"/>
      <c r="AR169" s="577"/>
      <c r="AS169" s="577"/>
      <c r="AT169" s="577"/>
      <c r="AU169" s="577"/>
      <c r="AV169" s="577"/>
      <c r="AW169" s="577"/>
      <c r="AX169" s="577"/>
      <c r="AY169" s="577"/>
      <c r="AZ169" s="577"/>
    </row>
    <row r="170" spans="1:52" ht="15.75" customHeight="1" x14ac:dyDescent="0.2">
      <c r="A170" s="577"/>
      <c r="B170" s="577"/>
      <c r="C170" s="577"/>
      <c r="D170" s="577"/>
      <c r="E170" s="577"/>
      <c r="F170" s="577"/>
      <c r="G170" s="577"/>
      <c r="H170" s="577"/>
      <c r="I170" s="577"/>
      <c r="J170" s="577"/>
      <c r="K170" s="577"/>
      <c r="L170" s="577"/>
      <c r="M170" s="577"/>
      <c r="N170" s="577"/>
      <c r="O170" s="577"/>
      <c r="P170" s="577"/>
      <c r="Q170" s="577"/>
      <c r="R170" s="577"/>
      <c r="S170" s="577"/>
      <c r="T170" s="577"/>
      <c r="U170" s="577"/>
      <c r="V170" s="577"/>
      <c r="W170" s="577"/>
      <c r="X170" s="577"/>
      <c r="Y170" s="577"/>
      <c r="Z170" s="577"/>
      <c r="AA170" s="577"/>
      <c r="AB170" s="577"/>
      <c r="AC170" s="577"/>
      <c r="AD170" s="577"/>
      <c r="AE170" s="577"/>
      <c r="AF170" s="577"/>
      <c r="AG170" s="577"/>
      <c r="AH170" s="577"/>
      <c r="AI170" s="577"/>
      <c r="AJ170" s="577"/>
      <c r="AK170" s="577"/>
      <c r="AL170" s="577"/>
      <c r="AM170" s="577"/>
      <c r="AN170" s="577"/>
      <c r="AO170" s="577"/>
      <c r="AP170" s="577"/>
      <c r="AQ170" s="577"/>
      <c r="AR170" s="577"/>
      <c r="AS170" s="577"/>
      <c r="AT170" s="577"/>
      <c r="AU170" s="577"/>
      <c r="AV170" s="577"/>
      <c r="AW170" s="577"/>
      <c r="AX170" s="577"/>
      <c r="AY170" s="577"/>
      <c r="AZ170" s="577"/>
    </row>
    <row r="171" spans="1:52" ht="15.75" customHeight="1" x14ac:dyDescent="0.2">
      <c r="A171" s="577"/>
      <c r="B171" s="577"/>
      <c r="C171" s="577"/>
      <c r="D171" s="577"/>
      <c r="E171" s="577"/>
      <c r="F171" s="577"/>
      <c r="G171" s="577"/>
      <c r="H171" s="577"/>
      <c r="I171" s="577"/>
      <c r="J171" s="577"/>
      <c r="K171" s="577"/>
      <c r="L171" s="577"/>
      <c r="M171" s="577"/>
      <c r="N171" s="577"/>
      <c r="O171" s="577"/>
      <c r="P171" s="577"/>
      <c r="Q171" s="577"/>
      <c r="R171" s="577"/>
      <c r="S171" s="577"/>
      <c r="T171" s="577"/>
      <c r="U171" s="577"/>
      <c r="V171" s="577"/>
      <c r="W171" s="577"/>
      <c r="X171" s="577"/>
      <c r="Y171" s="577"/>
      <c r="Z171" s="577"/>
      <c r="AA171" s="577"/>
      <c r="AB171" s="577"/>
      <c r="AC171" s="577"/>
      <c r="AD171" s="577"/>
      <c r="AE171" s="577"/>
      <c r="AF171" s="577"/>
      <c r="AG171" s="577"/>
      <c r="AH171" s="577"/>
      <c r="AI171" s="577"/>
      <c r="AJ171" s="577"/>
      <c r="AK171" s="577"/>
      <c r="AL171" s="577"/>
      <c r="AM171" s="577"/>
      <c r="AN171" s="577"/>
      <c r="AO171" s="577"/>
      <c r="AP171" s="577"/>
      <c r="AQ171" s="577"/>
      <c r="AR171" s="577"/>
      <c r="AS171" s="577"/>
      <c r="AT171" s="577"/>
      <c r="AU171" s="577"/>
      <c r="AV171" s="577"/>
      <c r="AW171" s="577"/>
      <c r="AX171" s="577"/>
      <c r="AY171" s="577"/>
      <c r="AZ171" s="577"/>
    </row>
    <row r="172" spans="1:52" ht="15.75" customHeight="1" x14ac:dyDescent="0.2">
      <c r="A172" s="577"/>
      <c r="B172" s="577"/>
      <c r="C172" s="577"/>
      <c r="D172" s="577"/>
      <c r="E172" s="577"/>
      <c r="F172" s="577"/>
      <c r="G172" s="577"/>
      <c r="H172" s="577"/>
      <c r="I172" s="577"/>
      <c r="J172" s="577"/>
      <c r="K172" s="577"/>
      <c r="L172" s="577"/>
      <c r="M172" s="577"/>
      <c r="N172" s="577"/>
      <c r="O172" s="577"/>
      <c r="P172" s="577"/>
      <c r="Q172" s="577"/>
      <c r="R172" s="577"/>
      <c r="S172" s="577"/>
      <c r="T172" s="577"/>
      <c r="U172" s="577"/>
      <c r="V172" s="577"/>
      <c r="W172" s="577"/>
      <c r="X172" s="577"/>
      <c r="Y172" s="577"/>
      <c r="Z172" s="577"/>
      <c r="AA172" s="577"/>
      <c r="AB172" s="577"/>
      <c r="AC172" s="577"/>
      <c r="AD172" s="577"/>
      <c r="AE172" s="577"/>
      <c r="AF172" s="577"/>
      <c r="AG172" s="577"/>
      <c r="AH172" s="577"/>
      <c r="AI172" s="577"/>
      <c r="AJ172" s="577"/>
      <c r="AK172" s="577"/>
      <c r="AL172" s="577"/>
      <c r="AM172" s="577"/>
      <c r="AN172" s="577"/>
      <c r="AO172" s="577"/>
      <c r="AP172" s="577"/>
      <c r="AQ172" s="577"/>
      <c r="AR172" s="577"/>
      <c r="AS172" s="577"/>
      <c r="AT172" s="577"/>
      <c r="AU172" s="577"/>
      <c r="AV172" s="577"/>
      <c r="AW172" s="577"/>
      <c r="AX172" s="577"/>
      <c r="AY172" s="577"/>
      <c r="AZ172" s="577"/>
    </row>
    <row r="173" spans="1:52" ht="15.75" customHeight="1" x14ac:dyDescent="0.2">
      <c r="A173" s="577"/>
      <c r="B173" s="577"/>
      <c r="C173" s="577"/>
      <c r="D173" s="577"/>
      <c r="E173" s="577"/>
      <c r="F173" s="577"/>
      <c r="G173" s="577"/>
      <c r="H173" s="577"/>
      <c r="I173" s="577"/>
      <c r="J173" s="577"/>
      <c r="K173" s="577"/>
      <c r="L173" s="577"/>
      <c r="M173" s="577"/>
      <c r="N173" s="577"/>
      <c r="O173" s="577"/>
      <c r="P173" s="577"/>
      <c r="Q173" s="577"/>
      <c r="R173" s="577"/>
      <c r="S173" s="577"/>
      <c r="T173" s="577"/>
      <c r="U173" s="577"/>
      <c r="V173" s="577"/>
      <c r="W173" s="577"/>
      <c r="X173" s="577"/>
      <c r="Y173" s="577"/>
      <c r="Z173" s="577"/>
      <c r="AA173" s="577"/>
      <c r="AB173" s="577"/>
      <c r="AC173" s="577"/>
      <c r="AD173" s="577"/>
      <c r="AE173" s="577"/>
      <c r="AF173" s="577"/>
      <c r="AG173" s="577"/>
      <c r="AH173" s="577"/>
      <c r="AI173" s="577"/>
      <c r="AJ173" s="577"/>
      <c r="AK173" s="577"/>
      <c r="AL173" s="577"/>
      <c r="AM173" s="577"/>
      <c r="AN173" s="577"/>
      <c r="AO173" s="577"/>
      <c r="AP173" s="577"/>
      <c r="AQ173" s="577"/>
      <c r="AR173" s="577"/>
      <c r="AS173" s="577"/>
      <c r="AT173" s="577"/>
      <c r="AU173" s="577"/>
      <c r="AV173" s="577"/>
      <c r="AW173" s="577"/>
      <c r="AX173" s="577"/>
      <c r="AY173" s="577"/>
      <c r="AZ173" s="577"/>
    </row>
    <row r="174" spans="1:52" ht="15.75" customHeight="1" x14ac:dyDescent="0.2">
      <c r="A174" s="577"/>
      <c r="B174" s="577"/>
      <c r="C174" s="577"/>
      <c r="D174" s="577"/>
      <c r="E174" s="577"/>
      <c r="F174" s="577"/>
      <c r="G174" s="577"/>
      <c r="H174" s="577"/>
      <c r="I174" s="577"/>
      <c r="J174" s="577"/>
      <c r="K174" s="577"/>
      <c r="L174" s="577"/>
      <c r="M174" s="577"/>
      <c r="N174" s="577"/>
      <c r="O174" s="577"/>
      <c r="P174" s="577"/>
      <c r="Q174" s="577"/>
      <c r="R174" s="577"/>
      <c r="S174" s="577"/>
      <c r="T174" s="577"/>
      <c r="U174" s="577"/>
      <c r="V174" s="577"/>
      <c r="W174" s="577"/>
      <c r="X174" s="577"/>
      <c r="Y174" s="577"/>
      <c r="Z174" s="577"/>
      <c r="AA174" s="577"/>
      <c r="AB174" s="577"/>
      <c r="AC174" s="577"/>
      <c r="AD174" s="577"/>
      <c r="AE174" s="577"/>
      <c r="AF174" s="577"/>
      <c r="AG174" s="577"/>
      <c r="AH174" s="577"/>
      <c r="AI174" s="577"/>
      <c r="AJ174" s="577"/>
      <c r="AK174" s="577"/>
      <c r="AL174" s="577"/>
      <c r="AM174" s="577"/>
      <c r="AN174" s="577"/>
      <c r="AO174" s="577"/>
      <c r="AP174" s="577"/>
      <c r="AQ174" s="577"/>
      <c r="AR174" s="577"/>
      <c r="AS174" s="577"/>
      <c r="AT174" s="577"/>
      <c r="AU174" s="577"/>
      <c r="AV174" s="577"/>
      <c r="AW174" s="577"/>
      <c r="AX174" s="577"/>
      <c r="AY174" s="577"/>
      <c r="AZ174" s="577"/>
    </row>
    <row r="175" spans="1:52" ht="15.75" customHeight="1" x14ac:dyDescent="0.2">
      <c r="A175" s="577"/>
      <c r="B175" s="577"/>
      <c r="C175" s="577"/>
      <c r="D175" s="577"/>
      <c r="E175" s="577"/>
      <c r="F175" s="577"/>
      <c r="G175" s="577"/>
      <c r="H175" s="577"/>
      <c r="I175" s="577"/>
      <c r="J175" s="577"/>
      <c r="K175" s="577"/>
      <c r="L175" s="577"/>
      <c r="M175" s="577"/>
      <c r="N175" s="577"/>
      <c r="O175" s="577"/>
      <c r="P175" s="577"/>
      <c r="Q175" s="577"/>
      <c r="R175" s="577"/>
      <c r="S175" s="577"/>
      <c r="T175" s="577"/>
      <c r="U175" s="577"/>
      <c r="V175" s="577"/>
      <c r="W175" s="577"/>
      <c r="X175" s="577"/>
      <c r="Y175" s="577"/>
      <c r="Z175" s="577"/>
      <c r="AA175" s="577"/>
      <c r="AB175" s="577"/>
      <c r="AC175" s="577"/>
      <c r="AD175" s="577"/>
      <c r="AE175" s="577"/>
      <c r="AF175" s="577"/>
      <c r="AG175" s="577"/>
      <c r="AH175" s="577"/>
      <c r="AI175" s="577"/>
      <c r="AJ175" s="577"/>
      <c r="AK175" s="577"/>
      <c r="AL175" s="577"/>
      <c r="AM175" s="577"/>
      <c r="AN175" s="577"/>
      <c r="AO175" s="577"/>
      <c r="AP175" s="577"/>
      <c r="AQ175" s="577"/>
      <c r="AR175" s="577"/>
      <c r="AS175" s="577"/>
      <c r="AT175" s="577"/>
      <c r="AU175" s="577"/>
      <c r="AV175" s="577"/>
      <c r="AW175" s="577"/>
      <c r="AX175" s="577"/>
      <c r="AY175" s="577"/>
      <c r="AZ175" s="577"/>
    </row>
    <row r="176" spans="1:52" ht="15.75" customHeight="1" x14ac:dyDescent="0.2">
      <c r="A176" s="577"/>
      <c r="B176" s="577"/>
      <c r="C176" s="577"/>
      <c r="D176" s="577"/>
      <c r="E176" s="577"/>
      <c r="F176" s="577"/>
      <c r="G176" s="577"/>
      <c r="H176" s="577"/>
      <c r="I176" s="577"/>
      <c r="J176" s="577"/>
      <c r="K176" s="577"/>
      <c r="L176" s="577"/>
      <c r="M176" s="577"/>
      <c r="N176" s="577"/>
      <c r="O176" s="577"/>
      <c r="P176" s="577"/>
      <c r="Q176" s="577"/>
      <c r="R176" s="577"/>
      <c r="S176" s="577"/>
      <c r="T176" s="577"/>
      <c r="U176" s="577"/>
      <c r="V176" s="577"/>
      <c r="W176" s="577"/>
      <c r="X176" s="577"/>
      <c r="Y176" s="577"/>
      <c r="Z176" s="577"/>
      <c r="AA176" s="577"/>
      <c r="AB176" s="577"/>
      <c r="AC176" s="577"/>
      <c r="AD176" s="577"/>
      <c r="AE176" s="577"/>
      <c r="AF176" s="577"/>
      <c r="AG176" s="577"/>
      <c r="AH176" s="577"/>
      <c r="AI176" s="577"/>
      <c r="AJ176" s="577"/>
      <c r="AK176" s="577"/>
      <c r="AL176" s="577"/>
      <c r="AM176" s="577"/>
      <c r="AN176" s="577"/>
      <c r="AO176" s="577"/>
      <c r="AP176" s="577"/>
      <c r="AQ176" s="577"/>
      <c r="AR176" s="577"/>
      <c r="AS176" s="577"/>
      <c r="AT176" s="577"/>
      <c r="AU176" s="577"/>
      <c r="AV176" s="577"/>
      <c r="AW176" s="577"/>
      <c r="AX176" s="577"/>
      <c r="AY176" s="577"/>
      <c r="AZ176" s="577"/>
    </row>
    <row r="177" spans="1:52" ht="15.75" customHeight="1" x14ac:dyDescent="0.2">
      <c r="A177" s="577"/>
      <c r="B177" s="577"/>
      <c r="C177" s="577"/>
      <c r="D177" s="577"/>
      <c r="E177" s="577"/>
      <c r="F177" s="577"/>
      <c r="G177" s="577"/>
      <c r="H177" s="577"/>
      <c r="I177" s="577"/>
      <c r="J177" s="577"/>
      <c r="K177" s="577"/>
      <c r="L177" s="577"/>
      <c r="M177" s="577"/>
      <c r="N177" s="577"/>
      <c r="O177" s="577"/>
      <c r="P177" s="577"/>
      <c r="Q177" s="577"/>
      <c r="R177" s="577"/>
      <c r="S177" s="577"/>
      <c r="T177" s="577"/>
      <c r="U177" s="577"/>
      <c r="V177" s="577"/>
      <c r="W177" s="577"/>
      <c r="X177" s="577"/>
      <c r="Y177" s="577"/>
      <c r="Z177" s="577"/>
      <c r="AA177" s="577"/>
      <c r="AB177" s="577"/>
      <c r="AC177" s="577"/>
      <c r="AD177" s="577"/>
      <c r="AE177" s="577"/>
      <c r="AF177" s="577"/>
      <c r="AG177" s="577"/>
      <c r="AH177" s="577"/>
      <c r="AI177" s="577"/>
      <c r="AJ177" s="577"/>
      <c r="AK177" s="577"/>
      <c r="AL177" s="577"/>
      <c r="AM177" s="577"/>
      <c r="AN177" s="577"/>
      <c r="AO177" s="577"/>
      <c r="AP177" s="577"/>
      <c r="AQ177" s="577"/>
      <c r="AR177" s="577"/>
      <c r="AS177" s="577"/>
      <c r="AT177" s="577"/>
      <c r="AU177" s="577"/>
      <c r="AV177" s="577"/>
      <c r="AW177" s="577"/>
      <c r="AX177" s="577"/>
      <c r="AY177" s="577"/>
      <c r="AZ177" s="577"/>
    </row>
    <row r="178" spans="1:52" ht="15.75" customHeight="1" x14ac:dyDescent="0.2">
      <c r="A178" s="577"/>
      <c r="B178" s="577"/>
      <c r="C178" s="577"/>
      <c r="D178" s="577"/>
      <c r="E178" s="577"/>
      <c r="F178" s="577"/>
      <c r="G178" s="577"/>
      <c r="H178" s="577"/>
      <c r="I178" s="577"/>
      <c r="J178" s="577"/>
      <c r="K178" s="577"/>
      <c r="L178" s="577"/>
      <c r="M178" s="577"/>
      <c r="N178" s="577"/>
      <c r="O178" s="577"/>
      <c r="P178" s="577"/>
      <c r="Q178" s="577"/>
      <c r="R178" s="577"/>
      <c r="S178" s="577"/>
      <c r="T178" s="577"/>
      <c r="U178" s="577"/>
      <c r="V178" s="577"/>
      <c r="W178" s="577"/>
      <c r="X178" s="577"/>
      <c r="Y178" s="577"/>
      <c r="Z178" s="577"/>
      <c r="AA178" s="577"/>
      <c r="AB178" s="577"/>
      <c r="AC178" s="577"/>
      <c r="AD178" s="577"/>
      <c r="AE178" s="577"/>
      <c r="AF178" s="577"/>
      <c r="AG178" s="577"/>
      <c r="AH178" s="577"/>
      <c r="AI178" s="577"/>
      <c r="AJ178" s="577"/>
      <c r="AK178" s="577"/>
      <c r="AL178" s="577"/>
      <c r="AM178" s="577"/>
      <c r="AN178" s="577"/>
      <c r="AO178" s="577"/>
      <c r="AP178" s="577"/>
      <c r="AQ178" s="577"/>
      <c r="AR178" s="577"/>
      <c r="AS178" s="577"/>
      <c r="AT178" s="577"/>
      <c r="AU178" s="577"/>
      <c r="AV178" s="577"/>
      <c r="AW178" s="577"/>
      <c r="AX178" s="577"/>
      <c r="AY178" s="577"/>
      <c r="AZ178" s="577"/>
    </row>
    <row r="179" spans="1:52" ht="15.75" customHeight="1" x14ac:dyDescent="0.2">
      <c r="A179" s="577"/>
      <c r="B179" s="577"/>
      <c r="C179" s="577"/>
      <c r="D179" s="577"/>
      <c r="E179" s="577"/>
      <c r="F179" s="577"/>
      <c r="G179" s="577"/>
      <c r="H179" s="577"/>
      <c r="I179" s="577"/>
      <c r="J179" s="577"/>
      <c r="K179" s="577"/>
      <c r="L179" s="577"/>
      <c r="M179" s="577"/>
      <c r="N179" s="577"/>
      <c r="O179" s="577"/>
      <c r="P179" s="577"/>
      <c r="Q179" s="577"/>
      <c r="R179" s="577"/>
      <c r="S179" s="577"/>
      <c r="T179" s="577"/>
      <c r="U179" s="577"/>
      <c r="V179" s="577"/>
      <c r="W179" s="577"/>
      <c r="X179" s="577"/>
      <c r="Y179" s="577"/>
      <c r="Z179" s="577"/>
      <c r="AA179" s="577"/>
      <c r="AB179" s="577"/>
      <c r="AC179" s="577"/>
      <c r="AD179" s="577"/>
      <c r="AE179" s="577"/>
      <c r="AF179" s="577"/>
      <c r="AG179" s="577"/>
      <c r="AH179" s="577"/>
      <c r="AI179" s="577"/>
      <c r="AJ179" s="577"/>
      <c r="AK179" s="577"/>
      <c r="AL179" s="577"/>
      <c r="AM179" s="577"/>
      <c r="AN179" s="577"/>
      <c r="AO179" s="577"/>
      <c r="AP179" s="577"/>
      <c r="AQ179" s="577"/>
      <c r="AR179" s="577"/>
      <c r="AS179" s="577"/>
      <c r="AT179" s="577"/>
      <c r="AU179" s="577"/>
      <c r="AV179" s="577"/>
      <c r="AW179" s="577"/>
      <c r="AX179" s="577"/>
      <c r="AY179" s="577"/>
      <c r="AZ179" s="577"/>
    </row>
    <row r="180" spans="1:52" ht="15.75" customHeight="1" x14ac:dyDescent="0.2">
      <c r="A180" s="577"/>
      <c r="B180" s="577"/>
      <c r="C180" s="577"/>
      <c r="D180" s="577"/>
      <c r="E180" s="577"/>
      <c r="F180" s="577"/>
      <c r="G180" s="577"/>
      <c r="H180" s="577"/>
      <c r="I180" s="577"/>
      <c r="J180" s="577"/>
      <c r="K180" s="577"/>
      <c r="L180" s="577"/>
      <c r="M180" s="577"/>
      <c r="N180" s="577"/>
      <c r="O180" s="577"/>
      <c r="P180" s="577"/>
      <c r="Q180" s="577"/>
      <c r="R180" s="577"/>
      <c r="S180" s="577"/>
      <c r="T180" s="577"/>
      <c r="U180" s="577"/>
      <c r="V180" s="577"/>
      <c r="W180" s="577"/>
      <c r="X180" s="577"/>
      <c r="Y180" s="577"/>
      <c r="Z180" s="577"/>
      <c r="AA180" s="577"/>
      <c r="AB180" s="577"/>
      <c r="AC180" s="577"/>
      <c r="AD180" s="577"/>
      <c r="AE180" s="577"/>
      <c r="AF180" s="577"/>
      <c r="AG180" s="577"/>
      <c r="AH180" s="577"/>
      <c r="AI180" s="577"/>
      <c r="AJ180" s="577"/>
      <c r="AK180" s="577"/>
      <c r="AL180" s="577"/>
      <c r="AM180" s="577"/>
      <c r="AN180" s="577"/>
      <c r="AO180" s="577"/>
      <c r="AP180" s="577"/>
      <c r="AQ180" s="577"/>
      <c r="AR180" s="577"/>
      <c r="AS180" s="577"/>
      <c r="AT180" s="577"/>
      <c r="AU180" s="577"/>
      <c r="AV180" s="577"/>
      <c r="AW180" s="577"/>
      <c r="AX180" s="577"/>
      <c r="AY180" s="577"/>
      <c r="AZ180" s="577"/>
    </row>
    <row r="181" spans="1:52" ht="15.75" customHeight="1" x14ac:dyDescent="0.2">
      <c r="A181" s="577"/>
      <c r="B181" s="577"/>
      <c r="C181" s="577"/>
      <c r="D181" s="577"/>
      <c r="E181" s="577"/>
      <c r="F181" s="577"/>
      <c r="G181" s="577"/>
      <c r="H181" s="577"/>
      <c r="I181" s="577"/>
      <c r="J181" s="577"/>
      <c r="K181" s="577"/>
      <c r="L181" s="577"/>
      <c r="M181" s="577"/>
      <c r="N181" s="577"/>
      <c r="O181" s="577"/>
      <c r="P181" s="577"/>
      <c r="Q181" s="577"/>
      <c r="R181" s="577"/>
      <c r="S181" s="577"/>
      <c r="T181" s="577"/>
      <c r="U181" s="577"/>
      <c r="V181" s="577"/>
      <c r="W181" s="577"/>
      <c r="X181" s="577"/>
      <c r="Y181" s="577"/>
      <c r="Z181" s="577"/>
      <c r="AA181" s="577"/>
      <c r="AB181" s="577"/>
      <c r="AC181" s="577"/>
      <c r="AD181" s="577"/>
      <c r="AE181" s="577"/>
      <c r="AF181" s="577"/>
      <c r="AG181" s="577"/>
      <c r="AH181" s="577"/>
      <c r="AI181" s="577"/>
      <c r="AJ181" s="577"/>
      <c r="AK181" s="577"/>
      <c r="AL181" s="577"/>
      <c r="AM181" s="577"/>
      <c r="AN181" s="577"/>
      <c r="AO181" s="577"/>
      <c r="AP181" s="577"/>
      <c r="AQ181" s="577"/>
      <c r="AR181" s="577"/>
      <c r="AS181" s="577"/>
      <c r="AT181" s="577"/>
      <c r="AU181" s="577"/>
      <c r="AV181" s="577"/>
      <c r="AW181" s="577"/>
      <c r="AX181" s="577"/>
      <c r="AY181" s="577"/>
      <c r="AZ181" s="577"/>
    </row>
    <row r="182" spans="1:52" ht="15.75" customHeight="1" x14ac:dyDescent="0.2">
      <c r="A182" s="577"/>
      <c r="B182" s="577"/>
      <c r="C182" s="577"/>
      <c r="D182" s="577"/>
      <c r="E182" s="577"/>
      <c r="F182" s="577"/>
      <c r="G182" s="577"/>
      <c r="H182" s="577"/>
      <c r="I182" s="577"/>
      <c r="J182" s="577"/>
      <c r="K182" s="577"/>
      <c r="L182" s="577"/>
      <c r="M182" s="577"/>
      <c r="N182" s="577"/>
      <c r="O182" s="577"/>
      <c r="P182" s="577"/>
      <c r="Q182" s="577"/>
      <c r="R182" s="577"/>
      <c r="S182" s="577"/>
      <c r="T182" s="577"/>
      <c r="U182" s="577"/>
      <c r="V182" s="577"/>
      <c r="W182" s="577"/>
      <c r="X182" s="577"/>
      <c r="Y182" s="577"/>
      <c r="Z182" s="577"/>
      <c r="AA182" s="577"/>
      <c r="AB182" s="577"/>
      <c r="AC182" s="577"/>
      <c r="AD182" s="577"/>
      <c r="AE182" s="577"/>
      <c r="AF182" s="577"/>
      <c r="AG182" s="577"/>
      <c r="AH182" s="577"/>
      <c r="AI182" s="577"/>
      <c r="AJ182" s="577"/>
      <c r="AK182" s="577"/>
      <c r="AL182" s="577"/>
      <c r="AM182" s="577"/>
      <c r="AN182" s="577"/>
      <c r="AO182" s="577"/>
      <c r="AP182" s="577"/>
      <c r="AQ182" s="577"/>
      <c r="AR182" s="577"/>
      <c r="AS182" s="577"/>
      <c r="AT182" s="577"/>
      <c r="AU182" s="577"/>
      <c r="AV182" s="577"/>
      <c r="AW182" s="577"/>
      <c r="AX182" s="577"/>
      <c r="AY182" s="577"/>
      <c r="AZ182" s="577"/>
    </row>
    <row r="183" spans="1:52" ht="15.75" customHeight="1" x14ac:dyDescent="0.2">
      <c r="A183" s="577"/>
      <c r="B183" s="577"/>
      <c r="C183" s="577"/>
      <c r="D183" s="577"/>
      <c r="E183" s="577"/>
      <c r="F183" s="577"/>
      <c r="G183" s="577"/>
      <c r="H183" s="577"/>
      <c r="I183" s="577"/>
      <c r="J183" s="577"/>
      <c r="K183" s="577"/>
      <c r="L183" s="577"/>
      <c r="M183" s="577"/>
      <c r="N183" s="577"/>
      <c r="O183" s="577"/>
      <c r="P183" s="577"/>
      <c r="Q183" s="577"/>
      <c r="R183" s="577"/>
      <c r="S183" s="577"/>
      <c r="T183" s="577"/>
      <c r="U183" s="577"/>
      <c r="V183" s="577"/>
      <c r="W183" s="577"/>
      <c r="X183" s="577"/>
      <c r="Y183" s="577"/>
      <c r="Z183" s="577"/>
      <c r="AA183" s="577"/>
      <c r="AB183" s="577"/>
      <c r="AC183" s="577"/>
      <c r="AD183" s="577"/>
      <c r="AE183" s="577"/>
      <c r="AF183" s="577"/>
      <c r="AG183" s="577"/>
      <c r="AH183" s="577"/>
      <c r="AI183" s="577"/>
      <c r="AJ183" s="577"/>
      <c r="AK183" s="577"/>
      <c r="AL183" s="577"/>
      <c r="AM183" s="577"/>
      <c r="AN183" s="577"/>
      <c r="AO183" s="577"/>
      <c r="AP183" s="577"/>
      <c r="AQ183" s="577"/>
      <c r="AR183" s="577"/>
      <c r="AS183" s="577"/>
      <c r="AT183" s="577"/>
      <c r="AU183" s="577"/>
      <c r="AV183" s="577"/>
      <c r="AW183" s="577"/>
      <c r="AX183" s="577"/>
      <c r="AY183" s="577"/>
      <c r="AZ183" s="577"/>
    </row>
    <row r="184" spans="1:52" ht="15.75" customHeight="1" x14ac:dyDescent="0.2">
      <c r="A184" s="577"/>
      <c r="B184" s="577"/>
      <c r="C184" s="577"/>
      <c r="D184" s="577"/>
      <c r="E184" s="577"/>
      <c r="F184" s="577"/>
      <c r="G184" s="577"/>
      <c r="H184" s="577"/>
      <c r="I184" s="577"/>
      <c r="J184" s="577"/>
      <c r="K184" s="577"/>
      <c r="L184" s="577"/>
      <c r="M184" s="577"/>
      <c r="N184" s="577"/>
      <c r="O184" s="577"/>
      <c r="P184" s="577"/>
      <c r="Q184" s="577"/>
      <c r="R184" s="577"/>
      <c r="S184" s="577"/>
      <c r="T184" s="577"/>
      <c r="U184" s="577"/>
      <c r="V184" s="577"/>
      <c r="W184" s="577"/>
      <c r="X184" s="577"/>
      <c r="Y184" s="577"/>
      <c r="Z184" s="577"/>
      <c r="AA184" s="577"/>
      <c r="AB184" s="577"/>
      <c r="AC184" s="577"/>
      <c r="AD184" s="577"/>
      <c r="AE184" s="577"/>
      <c r="AF184" s="577"/>
      <c r="AG184" s="577"/>
      <c r="AH184" s="577"/>
      <c r="AI184" s="577"/>
      <c r="AJ184" s="577"/>
      <c r="AK184" s="577"/>
      <c r="AL184" s="577"/>
      <c r="AM184" s="577"/>
      <c r="AN184" s="577"/>
      <c r="AO184" s="577"/>
      <c r="AP184" s="577"/>
      <c r="AQ184" s="577"/>
      <c r="AR184" s="577"/>
      <c r="AS184" s="577"/>
      <c r="AT184" s="577"/>
      <c r="AU184" s="577"/>
      <c r="AV184" s="577"/>
      <c r="AW184" s="577"/>
      <c r="AX184" s="577"/>
      <c r="AY184" s="577"/>
      <c r="AZ184" s="577"/>
    </row>
    <row r="185" spans="1:52" ht="15.75" customHeight="1" x14ac:dyDescent="0.2">
      <c r="A185" s="577"/>
      <c r="B185" s="577"/>
      <c r="C185" s="577"/>
      <c r="D185" s="577"/>
      <c r="E185" s="577"/>
      <c r="F185" s="577"/>
      <c r="G185" s="577"/>
      <c r="H185" s="577"/>
      <c r="I185" s="577"/>
      <c r="J185" s="577"/>
      <c r="K185" s="577"/>
      <c r="L185" s="577"/>
      <c r="M185" s="577"/>
      <c r="N185" s="577"/>
      <c r="O185" s="577"/>
      <c r="P185" s="577"/>
      <c r="Q185" s="577"/>
      <c r="R185" s="577"/>
      <c r="S185" s="577"/>
      <c r="T185" s="577"/>
      <c r="U185" s="577"/>
      <c r="V185" s="577"/>
      <c r="W185" s="577"/>
      <c r="X185" s="577"/>
      <c r="Y185" s="577"/>
      <c r="Z185" s="577"/>
      <c r="AA185" s="577"/>
      <c r="AB185" s="577"/>
      <c r="AC185" s="577"/>
      <c r="AD185" s="577"/>
      <c r="AE185" s="577"/>
      <c r="AF185" s="577"/>
      <c r="AG185" s="577"/>
      <c r="AH185" s="577"/>
      <c r="AI185" s="577"/>
      <c r="AJ185" s="577"/>
      <c r="AK185" s="577"/>
      <c r="AL185" s="577"/>
      <c r="AM185" s="577"/>
      <c r="AN185" s="577"/>
      <c r="AO185" s="577"/>
      <c r="AP185" s="577"/>
      <c r="AQ185" s="577"/>
      <c r="AR185" s="577"/>
      <c r="AS185" s="577"/>
      <c r="AT185" s="577"/>
      <c r="AU185" s="577"/>
      <c r="AV185" s="577"/>
      <c r="AW185" s="577"/>
      <c r="AX185" s="577"/>
      <c r="AY185" s="577"/>
      <c r="AZ185" s="577"/>
    </row>
    <row r="186" spans="1:52" ht="15.75" customHeight="1" x14ac:dyDescent="0.2">
      <c r="A186" s="577"/>
      <c r="B186" s="577"/>
      <c r="C186" s="577"/>
      <c r="D186" s="577"/>
      <c r="E186" s="577"/>
      <c r="F186" s="577"/>
      <c r="G186" s="577"/>
      <c r="H186" s="577"/>
      <c r="I186" s="577"/>
      <c r="J186" s="577"/>
      <c r="K186" s="577"/>
      <c r="L186" s="577"/>
      <c r="M186" s="577"/>
      <c r="N186" s="577"/>
      <c r="O186" s="577"/>
      <c r="P186" s="577"/>
      <c r="Q186" s="577"/>
      <c r="R186" s="577"/>
      <c r="S186" s="577"/>
      <c r="T186" s="577"/>
      <c r="U186" s="577"/>
      <c r="V186" s="577"/>
      <c r="W186" s="577"/>
      <c r="X186" s="577"/>
      <c r="Y186" s="577"/>
      <c r="Z186" s="577"/>
      <c r="AA186" s="577"/>
      <c r="AB186" s="577"/>
      <c r="AC186" s="577"/>
      <c r="AD186" s="577"/>
      <c r="AE186" s="577"/>
      <c r="AF186" s="577"/>
      <c r="AG186" s="577"/>
      <c r="AH186" s="577"/>
      <c r="AI186" s="577"/>
      <c r="AJ186" s="577"/>
      <c r="AK186" s="577"/>
      <c r="AL186" s="577"/>
      <c r="AM186" s="577"/>
      <c r="AN186" s="577"/>
      <c r="AO186" s="577"/>
      <c r="AP186" s="577"/>
      <c r="AQ186" s="577"/>
      <c r="AR186" s="577"/>
      <c r="AS186" s="577"/>
      <c r="AT186" s="577"/>
      <c r="AU186" s="577"/>
      <c r="AV186" s="577"/>
      <c r="AW186" s="577"/>
      <c r="AX186" s="577"/>
      <c r="AY186" s="577"/>
      <c r="AZ186" s="577"/>
    </row>
    <row r="187" spans="1:52" ht="15.75" customHeight="1" x14ac:dyDescent="0.2">
      <c r="A187" s="577"/>
      <c r="B187" s="577"/>
      <c r="C187" s="577"/>
      <c r="D187" s="577"/>
      <c r="E187" s="577"/>
      <c r="F187" s="577"/>
      <c r="G187" s="577"/>
      <c r="H187" s="577"/>
      <c r="I187" s="577"/>
      <c r="J187" s="577"/>
      <c r="K187" s="577"/>
      <c r="L187" s="577"/>
      <c r="M187" s="577"/>
      <c r="N187" s="577"/>
      <c r="O187" s="577"/>
      <c r="P187" s="577"/>
      <c r="Q187" s="577"/>
      <c r="R187" s="577"/>
      <c r="S187" s="577"/>
      <c r="T187" s="577"/>
      <c r="U187" s="577"/>
      <c r="V187" s="577"/>
      <c r="W187" s="577"/>
      <c r="X187" s="577"/>
      <c r="Y187" s="577"/>
      <c r="Z187" s="577"/>
      <c r="AA187" s="577"/>
      <c r="AB187" s="577"/>
      <c r="AC187" s="577"/>
      <c r="AD187" s="577"/>
      <c r="AE187" s="577"/>
      <c r="AF187" s="577"/>
      <c r="AG187" s="577"/>
      <c r="AH187" s="577"/>
      <c r="AI187" s="577"/>
      <c r="AJ187" s="577"/>
      <c r="AK187" s="577"/>
      <c r="AL187" s="577"/>
      <c r="AM187" s="577"/>
      <c r="AN187" s="577"/>
      <c r="AO187" s="577"/>
      <c r="AP187" s="577"/>
      <c r="AQ187" s="577"/>
      <c r="AR187" s="577"/>
      <c r="AS187" s="577"/>
      <c r="AT187" s="577"/>
      <c r="AU187" s="577"/>
      <c r="AV187" s="577"/>
      <c r="AW187" s="577"/>
      <c r="AX187" s="577"/>
      <c r="AY187" s="577"/>
      <c r="AZ187" s="577"/>
    </row>
    <row r="188" spans="1:52" ht="15.75" customHeight="1" x14ac:dyDescent="0.2">
      <c r="A188" s="577"/>
      <c r="B188" s="577"/>
      <c r="C188" s="577"/>
      <c r="D188" s="577"/>
      <c r="E188" s="577"/>
      <c r="F188" s="577"/>
      <c r="G188" s="577"/>
      <c r="H188" s="577"/>
      <c r="I188" s="577"/>
      <c r="J188" s="577"/>
      <c r="K188" s="577"/>
      <c r="L188" s="577"/>
      <c r="M188" s="577"/>
      <c r="N188" s="577"/>
      <c r="O188" s="577"/>
      <c r="P188" s="577"/>
      <c r="Q188" s="577"/>
      <c r="R188" s="577"/>
      <c r="S188" s="577"/>
      <c r="T188" s="577"/>
      <c r="U188" s="577"/>
      <c r="V188" s="577"/>
      <c r="W188" s="577"/>
      <c r="X188" s="577"/>
      <c r="Y188" s="577"/>
      <c r="Z188" s="577"/>
      <c r="AA188" s="577"/>
      <c r="AB188" s="577"/>
      <c r="AC188" s="577"/>
      <c r="AD188" s="577"/>
      <c r="AE188" s="577"/>
      <c r="AF188" s="577"/>
      <c r="AG188" s="577"/>
      <c r="AH188" s="577"/>
      <c r="AI188" s="577"/>
      <c r="AJ188" s="577"/>
      <c r="AK188" s="577"/>
      <c r="AL188" s="577"/>
      <c r="AM188" s="577"/>
      <c r="AN188" s="577"/>
      <c r="AO188" s="577"/>
      <c r="AP188" s="577"/>
      <c r="AQ188" s="577"/>
      <c r="AR188" s="577"/>
      <c r="AS188" s="577"/>
      <c r="AT188" s="577"/>
      <c r="AU188" s="577"/>
      <c r="AV188" s="577"/>
      <c r="AW188" s="577"/>
      <c r="AX188" s="577"/>
      <c r="AY188" s="577"/>
      <c r="AZ188" s="577"/>
    </row>
    <row r="189" spans="1:52" ht="15.75" customHeight="1" x14ac:dyDescent="0.2">
      <c r="A189" s="577"/>
      <c r="B189" s="577"/>
      <c r="C189" s="577"/>
      <c r="D189" s="577"/>
      <c r="E189" s="577"/>
      <c r="F189" s="577"/>
      <c r="G189" s="577"/>
      <c r="H189" s="577"/>
      <c r="I189" s="577"/>
      <c r="J189" s="577"/>
      <c r="K189" s="577"/>
      <c r="L189" s="577"/>
      <c r="M189" s="577"/>
      <c r="N189" s="577"/>
      <c r="O189" s="577"/>
      <c r="P189" s="577"/>
      <c r="Q189" s="577"/>
      <c r="R189" s="577"/>
      <c r="S189" s="577"/>
      <c r="T189" s="577"/>
      <c r="U189" s="577"/>
      <c r="V189" s="577"/>
      <c r="W189" s="577"/>
      <c r="X189" s="577"/>
      <c r="Y189" s="577"/>
      <c r="Z189" s="577"/>
      <c r="AA189" s="577"/>
      <c r="AB189" s="577"/>
      <c r="AC189" s="577"/>
      <c r="AD189" s="577"/>
      <c r="AE189" s="577"/>
      <c r="AF189" s="577"/>
      <c r="AG189" s="577"/>
      <c r="AH189" s="577"/>
      <c r="AI189" s="577"/>
      <c r="AJ189" s="577"/>
      <c r="AK189" s="577"/>
      <c r="AL189" s="577"/>
      <c r="AM189" s="577"/>
      <c r="AN189" s="577"/>
      <c r="AO189" s="577"/>
      <c r="AP189" s="577"/>
      <c r="AQ189" s="577"/>
      <c r="AR189" s="577"/>
      <c r="AS189" s="577"/>
      <c r="AT189" s="577"/>
      <c r="AU189" s="577"/>
      <c r="AV189" s="577"/>
      <c r="AW189" s="577"/>
      <c r="AX189" s="577"/>
      <c r="AY189" s="577"/>
      <c r="AZ189" s="577"/>
    </row>
    <row r="190" spans="1:52" ht="15.75" customHeight="1" x14ac:dyDescent="0.2">
      <c r="A190" s="577"/>
      <c r="B190" s="577"/>
      <c r="C190" s="577"/>
      <c r="D190" s="577"/>
      <c r="E190" s="577"/>
      <c r="F190" s="577"/>
      <c r="G190" s="577"/>
      <c r="H190" s="577"/>
      <c r="I190" s="577"/>
      <c r="J190" s="577"/>
      <c r="K190" s="577"/>
      <c r="L190" s="577"/>
      <c r="M190" s="577"/>
      <c r="N190" s="577"/>
      <c r="O190" s="577"/>
      <c r="P190" s="577"/>
      <c r="Q190" s="577"/>
      <c r="R190" s="577"/>
      <c r="S190" s="577"/>
      <c r="T190" s="577"/>
      <c r="U190" s="577"/>
      <c r="V190" s="577"/>
      <c r="W190" s="577"/>
      <c r="X190" s="577"/>
      <c r="Y190" s="577"/>
      <c r="Z190" s="577"/>
      <c r="AA190" s="577"/>
      <c r="AB190" s="577"/>
      <c r="AC190" s="577"/>
      <c r="AD190" s="577"/>
      <c r="AE190" s="577"/>
      <c r="AF190" s="577"/>
      <c r="AG190" s="577"/>
      <c r="AH190" s="577"/>
      <c r="AI190" s="577"/>
      <c r="AJ190" s="577"/>
      <c r="AK190" s="577"/>
      <c r="AL190" s="577"/>
      <c r="AM190" s="577"/>
      <c r="AN190" s="577"/>
      <c r="AO190" s="577"/>
      <c r="AP190" s="577"/>
      <c r="AQ190" s="577"/>
      <c r="AR190" s="577"/>
      <c r="AS190" s="577"/>
      <c r="AT190" s="577"/>
      <c r="AU190" s="577"/>
      <c r="AV190" s="577"/>
      <c r="AW190" s="577"/>
      <c r="AX190" s="577"/>
      <c r="AY190" s="577"/>
      <c r="AZ190" s="577"/>
    </row>
    <row r="191" spans="1:52" ht="15.75" customHeight="1" x14ac:dyDescent="0.2">
      <c r="A191" s="577"/>
      <c r="B191" s="577"/>
      <c r="C191" s="577"/>
      <c r="D191" s="577"/>
      <c r="E191" s="577"/>
      <c r="F191" s="577"/>
      <c r="G191" s="577"/>
      <c r="H191" s="577"/>
      <c r="I191" s="577"/>
      <c r="J191" s="577"/>
      <c r="K191" s="577"/>
      <c r="L191" s="577"/>
      <c r="M191" s="577"/>
      <c r="N191" s="577"/>
      <c r="O191" s="577"/>
      <c r="P191" s="577"/>
      <c r="Q191" s="577"/>
      <c r="R191" s="577"/>
      <c r="S191" s="577"/>
      <c r="T191" s="577"/>
      <c r="U191" s="577"/>
      <c r="V191" s="577"/>
      <c r="W191" s="577"/>
      <c r="X191" s="577"/>
      <c r="Y191" s="577"/>
      <c r="Z191" s="577"/>
      <c r="AA191" s="577"/>
      <c r="AB191" s="577"/>
      <c r="AC191" s="577"/>
      <c r="AD191" s="577"/>
      <c r="AE191" s="577"/>
      <c r="AF191" s="577"/>
      <c r="AG191" s="577"/>
      <c r="AH191" s="577"/>
      <c r="AI191" s="577"/>
      <c r="AJ191" s="577"/>
      <c r="AK191" s="577"/>
      <c r="AL191" s="577"/>
      <c r="AM191" s="577"/>
      <c r="AN191" s="577"/>
      <c r="AO191" s="577"/>
      <c r="AP191" s="577"/>
      <c r="AQ191" s="577"/>
      <c r="AR191" s="577"/>
      <c r="AS191" s="577"/>
      <c r="AT191" s="577"/>
      <c r="AU191" s="577"/>
      <c r="AV191" s="577"/>
      <c r="AW191" s="577"/>
      <c r="AX191" s="577"/>
      <c r="AY191" s="577"/>
      <c r="AZ191" s="577"/>
    </row>
    <row r="192" spans="1:52" ht="15.75" customHeight="1" x14ac:dyDescent="0.2">
      <c r="A192" s="577"/>
      <c r="B192" s="577"/>
      <c r="C192" s="577"/>
      <c r="D192" s="577"/>
      <c r="E192" s="577"/>
      <c r="F192" s="577"/>
      <c r="G192" s="577"/>
      <c r="H192" s="577"/>
      <c r="I192" s="577"/>
      <c r="J192" s="577"/>
      <c r="K192" s="577"/>
      <c r="L192" s="577"/>
      <c r="M192" s="577"/>
      <c r="N192" s="577"/>
      <c r="O192" s="577"/>
      <c r="P192" s="577"/>
      <c r="Q192" s="577"/>
      <c r="R192" s="577"/>
      <c r="S192" s="577"/>
      <c r="T192" s="577"/>
      <c r="U192" s="577"/>
      <c r="V192" s="577"/>
      <c r="W192" s="577"/>
      <c r="X192" s="577"/>
      <c r="Y192" s="577"/>
      <c r="Z192" s="577"/>
      <c r="AA192" s="577"/>
      <c r="AB192" s="577"/>
      <c r="AC192" s="577"/>
      <c r="AD192" s="577"/>
      <c r="AE192" s="577"/>
      <c r="AF192" s="577"/>
      <c r="AG192" s="577"/>
      <c r="AH192" s="577"/>
      <c r="AI192" s="577"/>
      <c r="AJ192" s="577"/>
      <c r="AK192" s="577"/>
      <c r="AL192" s="577"/>
      <c r="AM192" s="577"/>
      <c r="AN192" s="577"/>
      <c r="AO192" s="577"/>
      <c r="AP192" s="577"/>
      <c r="AQ192" s="577"/>
      <c r="AR192" s="577"/>
      <c r="AS192" s="577"/>
      <c r="AT192" s="577"/>
      <c r="AU192" s="577"/>
      <c r="AV192" s="577"/>
      <c r="AW192" s="577"/>
      <c r="AX192" s="577"/>
      <c r="AY192" s="577"/>
      <c r="AZ192" s="577"/>
    </row>
    <row r="193" spans="1:52" ht="15.75" customHeight="1" x14ac:dyDescent="0.2">
      <c r="A193" s="577"/>
      <c r="B193" s="577"/>
      <c r="C193" s="577"/>
      <c r="D193" s="577"/>
      <c r="E193" s="577"/>
      <c r="F193" s="577"/>
      <c r="G193" s="577"/>
      <c r="H193" s="577"/>
      <c r="I193" s="577"/>
      <c r="J193" s="577"/>
      <c r="K193" s="577"/>
      <c r="L193" s="577"/>
      <c r="M193" s="577"/>
      <c r="N193" s="577"/>
      <c r="O193" s="577"/>
      <c r="P193" s="577"/>
      <c r="Q193" s="577"/>
      <c r="R193" s="577"/>
      <c r="S193" s="577"/>
      <c r="T193" s="577"/>
      <c r="U193" s="577"/>
      <c r="V193" s="577"/>
      <c r="W193" s="577"/>
      <c r="X193" s="577"/>
      <c r="Y193" s="577"/>
      <c r="Z193" s="577"/>
      <c r="AA193" s="577"/>
      <c r="AB193" s="577"/>
      <c r="AC193" s="577"/>
      <c r="AD193" s="577"/>
      <c r="AE193" s="577"/>
      <c r="AF193" s="577"/>
      <c r="AG193" s="577"/>
      <c r="AH193" s="577"/>
      <c r="AI193" s="577"/>
      <c r="AJ193" s="577"/>
      <c r="AK193" s="577"/>
      <c r="AL193" s="577"/>
      <c r="AM193" s="577"/>
      <c r="AN193" s="577"/>
      <c r="AO193" s="577"/>
      <c r="AP193" s="577"/>
      <c r="AQ193" s="577"/>
      <c r="AR193" s="577"/>
      <c r="AS193" s="577"/>
      <c r="AT193" s="577"/>
      <c r="AU193" s="577"/>
      <c r="AV193" s="577"/>
      <c r="AW193" s="577"/>
      <c r="AX193" s="577"/>
      <c r="AY193" s="577"/>
      <c r="AZ193" s="577"/>
    </row>
    <row r="194" spans="1:52" ht="15.75" customHeight="1" x14ac:dyDescent="0.2">
      <c r="A194" s="577"/>
      <c r="B194" s="577"/>
      <c r="C194" s="577"/>
      <c r="D194" s="577"/>
      <c r="E194" s="577"/>
      <c r="F194" s="577"/>
      <c r="G194" s="577"/>
      <c r="H194" s="577"/>
      <c r="I194" s="577"/>
      <c r="J194" s="577"/>
      <c r="K194" s="577"/>
      <c r="L194" s="577"/>
      <c r="M194" s="577"/>
      <c r="N194" s="577"/>
      <c r="O194" s="577"/>
      <c r="P194" s="577"/>
      <c r="Q194" s="577"/>
      <c r="R194" s="577"/>
      <c r="S194" s="577"/>
      <c r="T194" s="577"/>
      <c r="U194" s="577"/>
      <c r="V194" s="577"/>
      <c r="W194" s="577"/>
      <c r="X194" s="577"/>
      <c r="Y194" s="577"/>
      <c r="Z194" s="577"/>
      <c r="AA194" s="577"/>
      <c r="AB194" s="577"/>
      <c r="AC194" s="577"/>
      <c r="AD194" s="577"/>
      <c r="AE194" s="577"/>
      <c r="AF194" s="577"/>
      <c r="AG194" s="577"/>
      <c r="AH194" s="577"/>
      <c r="AI194" s="577"/>
      <c r="AJ194" s="577"/>
      <c r="AK194" s="577"/>
      <c r="AL194" s="577"/>
      <c r="AM194" s="577"/>
      <c r="AN194" s="577"/>
      <c r="AO194" s="577"/>
      <c r="AP194" s="577"/>
      <c r="AQ194" s="577"/>
      <c r="AR194" s="577"/>
      <c r="AS194" s="577"/>
      <c r="AT194" s="577"/>
      <c r="AU194" s="577"/>
      <c r="AV194" s="577"/>
      <c r="AW194" s="577"/>
      <c r="AX194" s="577"/>
      <c r="AY194" s="577"/>
      <c r="AZ194" s="577"/>
    </row>
    <row r="195" spans="1:52" ht="15.75" customHeight="1" x14ac:dyDescent="0.2">
      <c r="A195" s="577"/>
      <c r="B195" s="577"/>
      <c r="C195" s="577"/>
      <c r="D195" s="577"/>
      <c r="E195" s="577"/>
      <c r="F195" s="577"/>
      <c r="G195" s="577"/>
      <c r="H195" s="577"/>
      <c r="I195" s="577"/>
      <c r="J195" s="577"/>
      <c r="K195" s="577"/>
      <c r="L195" s="577"/>
      <c r="M195" s="577"/>
      <c r="N195" s="577"/>
      <c r="O195" s="577"/>
      <c r="P195" s="577"/>
      <c r="Q195" s="577"/>
      <c r="R195" s="577"/>
      <c r="S195" s="577"/>
      <c r="T195" s="577"/>
      <c r="U195" s="577"/>
      <c r="V195" s="577"/>
      <c r="W195" s="577"/>
      <c r="X195" s="577"/>
      <c r="Y195" s="577"/>
      <c r="Z195" s="577"/>
      <c r="AA195" s="577"/>
      <c r="AB195" s="577"/>
      <c r="AC195" s="577"/>
      <c r="AD195" s="577"/>
      <c r="AE195" s="577"/>
      <c r="AF195" s="577"/>
      <c r="AG195" s="577"/>
      <c r="AH195" s="577"/>
      <c r="AI195" s="577"/>
      <c r="AJ195" s="577"/>
      <c r="AK195" s="577"/>
      <c r="AL195" s="577"/>
      <c r="AM195" s="577"/>
      <c r="AN195" s="577"/>
      <c r="AO195" s="577"/>
      <c r="AP195" s="577"/>
      <c r="AQ195" s="577"/>
      <c r="AR195" s="577"/>
      <c r="AS195" s="577"/>
      <c r="AT195" s="577"/>
      <c r="AU195" s="577"/>
      <c r="AV195" s="577"/>
      <c r="AW195" s="577"/>
      <c r="AX195" s="577"/>
      <c r="AY195" s="577"/>
      <c r="AZ195" s="577"/>
    </row>
    <row r="196" spans="1:52" ht="0" hidden="1" customHeight="1" x14ac:dyDescent="0.2">
      <c r="A196" s="624"/>
      <c r="B196" s="624"/>
      <c r="C196" s="624"/>
      <c r="D196" s="624"/>
      <c r="E196" s="624"/>
      <c r="F196" s="624"/>
      <c r="G196" s="624"/>
      <c r="H196" s="624"/>
      <c r="I196" s="624"/>
      <c r="J196" s="624"/>
      <c r="K196" s="624"/>
      <c r="L196" s="624"/>
      <c r="M196" s="624"/>
      <c r="N196" s="624"/>
      <c r="O196" s="624"/>
      <c r="P196" s="624"/>
      <c r="Q196" s="624"/>
      <c r="R196" s="624"/>
      <c r="S196" s="624"/>
      <c r="T196" s="624"/>
      <c r="U196" s="624"/>
      <c r="V196" s="624"/>
      <c r="W196" s="624"/>
      <c r="X196" s="624"/>
      <c r="Y196" s="624"/>
      <c r="Z196" s="624"/>
      <c r="AA196" s="624"/>
      <c r="AB196" s="624"/>
      <c r="AC196" s="624"/>
      <c r="AD196" s="624"/>
      <c r="AE196" s="624"/>
      <c r="AF196" s="624"/>
      <c r="AG196" s="624"/>
      <c r="AH196" s="624"/>
      <c r="AI196" s="624"/>
      <c r="AJ196" s="624"/>
      <c r="AK196" s="624"/>
      <c r="AL196" s="624"/>
      <c r="AM196" s="624"/>
      <c r="AN196" s="624"/>
      <c r="AO196" s="624"/>
      <c r="AP196" s="624"/>
      <c r="AQ196" s="624"/>
      <c r="AR196" s="624"/>
      <c r="AS196" s="624"/>
      <c r="AT196" s="624"/>
      <c r="AU196" s="624"/>
      <c r="AV196" s="624"/>
      <c r="AW196" s="624"/>
      <c r="AX196" s="624"/>
      <c r="AY196" s="624"/>
      <c r="AZ196" s="624"/>
    </row>
    <row r="197" spans="1:52" ht="0" hidden="1" customHeight="1" x14ac:dyDescent="0.2">
      <c r="A197" s="624"/>
      <c r="B197" s="624"/>
      <c r="C197" s="624"/>
      <c r="D197" s="624"/>
      <c r="E197" s="624"/>
      <c r="F197" s="624"/>
      <c r="G197" s="624"/>
      <c r="H197" s="624"/>
      <c r="I197" s="624"/>
      <c r="J197" s="624"/>
      <c r="K197" s="624"/>
      <c r="L197" s="624"/>
      <c r="M197" s="624"/>
      <c r="N197" s="624"/>
      <c r="O197" s="624"/>
      <c r="P197" s="624"/>
      <c r="Q197" s="624"/>
      <c r="R197" s="624"/>
      <c r="S197" s="624"/>
      <c r="T197" s="624"/>
      <c r="U197" s="624"/>
      <c r="V197" s="624"/>
      <c r="W197" s="624"/>
      <c r="X197" s="624"/>
      <c r="Y197" s="624"/>
      <c r="Z197" s="624"/>
      <c r="AA197" s="624"/>
      <c r="AB197" s="624"/>
      <c r="AC197" s="624"/>
      <c r="AD197" s="624"/>
      <c r="AE197" s="624"/>
      <c r="AF197" s="624"/>
      <c r="AG197" s="624"/>
      <c r="AH197" s="624"/>
      <c r="AI197" s="624"/>
      <c r="AJ197" s="624"/>
      <c r="AK197" s="624"/>
      <c r="AL197" s="624"/>
      <c r="AM197" s="624"/>
      <c r="AN197" s="624"/>
      <c r="AO197" s="624"/>
      <c r="AP197" s="624"/>
      <c r="AQ197" s="624"/>
      <c r="AR197" s="624"/>
      <c r="AS197" s="624"/>
      <c r="AT197" s="624"/>
      <c r="AU197" s="624"/>
      <c r="AV197" s="624"/>
      <c r="AW197" s="624"/>
      <c r="AX197" s="624"/>
      <c r="AY197" s="624"/>
      <c r="AZ197" s="624"/>
    </row>
    <row r="198" spans="1:52" ht="0" hidden="1" customHeight="1" x14ac:dyDescent="0.2">
      <c r="A198" s="624"/>
      <c r="B198" s="624"/>
      <c r="C198" s="624"/>
      <c r="D198" s="624"/>
      <c r="E198" s="624"/>
      <c r="F198" s="624"/>
      <c r="G198" s="624"/>
      <c r="H198" s="624"/>
      <c r="I198" s="624"/>
      <c r="J198" s="624"/>
      <c r="K198" s="624"/>
      <c r="L198" s="624"/>
      <c r="M198" s="624"/>
      <c r="N198" s="624"/>
      <c r="O198" s="624"/>
      <c r="P198" s="624"/>
      <c r="Q198" s="624"/>
      <c r="R198" s="624"/>
      <c r="S198" s="624"/>
      <c r="T198" s="624"/>
      <c r="U198" s="624"/>
      <c r="V198" s="624"/>
      <c r="W198" s="624"/>
      <c r="X198" s="624"/>
      <c r="Y198" s="624"/>
      <c r="Z198" s="624"/>
      <c r="AA198" s="624"/>
      <c r="AB198" s="624"/>
      <c r="AC198" s="624"/>
      <c r="AD198" s="624"/>
      <c r="AE198" s="624"/>
      <c r="AF198" s="624"/>
      <c r="AG198" s="624"/>
      <c r="AH198" s="624"/>
      <c r="AI198" s="624"/>
      <c r="AJ198" s="624"/>
      <c r="AK198" s="624"/>
      <c r="AL198" s="624"/>
      <c r="AM198" s="624"/>
      <c r="AN198" s="624"/>
      <c r="AO198" s="624"/>
      <c r="AP198" s="624"/>
      <c r="AQ198" s="624"/>
      <c r="AR198" s="624"/>
      <c r="AS198" s="624"/>
      <c r="AT198" s="624"/>
      <c r="AU198" s="624"/>
      <c r="AV198" s="624"/>
      <c r="AW198" s="624"/>
      <c r="AX198" s="624"/>
      <c r="AY198" s="624"/>
      <c r="AZ198" s="624"/>
    </row>
    <row r="199" spans="1:52" ht="0" hidden="1" customHeight="1" x14ac:dyDescent="0.2">
      <c r="A199" s="624"/>
      <c r="B199" s="624"/>
      <c r="C199" s="624"/>
      <c r="D199" s="624"/>
      <c r="E199" s="624"/>
      <c r="F199" s="624"/>
      <c r="G199" s="624"/>
      <c r="H199" s="624"/>
      <c r="I199" s="624"/>
      <c r="J199" s="624"/>
      <c r="K199" s="624"/>
      <c r="L199" s="624"/>
      <c r="M199" s="624"/>
      <c r="N199" s="624"/>
      <c r="O199" s="624"/>
      <c r="P199" s="624"/>
      <c r="Q199" s="624"/>
      <c r="R199" s="624"/>
      <c r="S199" s="624"/>
      <c r="T199" s="624"/>
      <c r="U199" s="624"/>
      <c r="V199" s="624"/>
      <c r="W199" s="624"/>
      <c r="X199" s="624"/>
      <c r="Y199" s="624"/>
      <c r="Z199" s="624"/>
      <c r="AA199" s="624"/>
      <c r="AB199" s="624"/>
      <c r="AC199" s="624"/>
      <c r="AD199" s="624"/>
      <c r="AE199" s="624"/>
      <c r="AF199" s="624"/>
      <c r="AG199" s="624"/>
      <c r="AH199" s="624"/>
      <c r="AI199" s="624"/>
      <c r="AJ199" s="624"/>
      <c r="AK199" s="624"/>
      <c r="AL199" s="624"/>
      <c r="AM199" s="624"/>
      <c r="AN199" s="624"/>
      <c r="AO199" s="624"/>
      <c r="AP199" s="624"/>
      <c r="AQ199" s="624"/>
      <c r="AR199" s="624"/>
      <c r="AS199" s="624"/>
      <c r="AT199" s="624"/>
      <c r="AU199" s="624"/>
      <c r="AV199" s="624"/>
      <c r="AW199" s="624"/>
      <c r="AX199" s="624"/>
      <c r="AY199" s="624"/>
      <c r="AZ199" s="624"/>
    </row>
    <row r="200" spans="1:52" ht="0" hidden="1" customHeight="1" x14ac:dyDescent="0.2">
      <c r="A200" s="624"/>
      <c r="B200" s="624"/>
      <c r="C200" s="624"/>
      <c r="D200" s="624"/>
      <c r="E200" s="624"/>
      <c r="F200" s="624"/>
      <c r="G200" s="624"/>
      <c r="H200" s="624"/>
      <c r="I200" s="624"/>
      <c r="J200" s="624"/>
      <c r="K200" s="624"/>
      <c r="L200" s="624"/>
      <c r="M200" s="624"/>
      <c r="N200" s="624"/>
      <c r="O200" s="624"/>
      <c r="P200" s="624"/>
      <c r="Q200" s="624"/>
      <c r="R200" s="624"/>
      <c r="S200" s="624"/>
      <c r="T200" s="624"/>
      <c r="U200" s="624"/>
      <c r="V200" s="624"/>
      <c r="W200" s="624"/>
      <c r="X200" s="624"/>
      <c r="Y200" s="624"/>
      <c r="Z200" s="624"/>
      <c r="AA200" s="624"/>
      <c r="AB200" s="624"/>
      <c r="AC200" s="624"/>
      <c r="AD200" s="624"/>
      <c r="AE200" s="624"/>
      <c r="AF200" s="624"/>
      <c r="AG200" s="624"/>
      <c r="AH200" s="624"/>
      <c r="AI200" s="624"/>
      <c r="AJ200" s="624"/>
      <c r="AK200" s="624"/>
      <c r="AL200" s="624"/>
      <c r="AM200" s="624"/>
      <c r="AN200" s="624"/>
      <c r="AO200" s="624"/>
      <c r="AP200" s="624"/>
      <c r="AQ200" s="624"/>
      <c r="AR200" s="624"/>
      <c r="AS200" s="624"/>
      <c r="AT200" s="624"/>
      <c r="AU200" s="624"/>
      <c r="AV200" s="624"/>
      <c r="AW200" s="624"/>
      <c r="AX200" s="624"/>
      <c r="AY200" s="624"/>
      <c r="AZ200" s="624"/>
    </row>
  </sheetData>
  <sheetProtection formatCells="0" formatColumns="0" formatRows="0" autoFilter="0"/>
  <pageMargins left="0.75" right="0.75" top="1" bottom="1" header="0.5" footer="0.5"/>
  <pageSetup scale="84" orientation="portrait"/>
  <headerFooter alignWithMargins="0">
    <oddHeader>&amp;CSpring 2018 Exam 5 Make-Up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Z200"/>
  <sheetViews>
    <sheetView workbookViewId="0"/>
  </sheetViews>
  <sheetFormatPr defaultColWidth="0" defaultRowHeight="0" customHeight="1" zeroHeight="1" x14ac:dyDescent="0.25"/>
  <cols>
    <col min="1" max="1" width="18.125" style="37" customWidth="1"/>
    <col min="2" max="2" width="17.625" style="37" bestFit="1" customWidth="1"/>
    <col min="3" max="3" width="13.875" style="37" customWidth="1"/>
    <col min="4" max="4" width="13.5" style="37" customWidth="1"/>
    <col min="5" max="5" width="13.25" style="37" customWidth="1"/>
    <col min="6" max="6" width="10.75" style="37" bestFit="1" customWidth="1"/>
    <col min="7" max="7" width="25.625" style="37" customWidth="1"/>
    <col min="8" max="49" width="10.625" style="37" customWidth="1"/>
    <col min="50" max="16384" width="10.625" style="37" hidden="1"/>
  </cols>
  <sheetData>
    <row r="1" spans="1:52" ht="15.75" thickBot="1" x14ac:dyDescent="0.3">
      <c r="A1" s="1">
        <v>3</v>
      </c>
      <c r="B1" s="2"/>
      <c r="C1" s="33"/>
      <c r="D1" s="33"/>
      <c r="E1" s="33"/>
      <c r="F1" s="33"/>
      <c r="G1" s="33"/>
      <c r="H1" s="34"/>
      <c r="I1" s="8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40"/>
      <c r="I2" s="82" t="s">
        <v>19</v>
      </c>
      <c r="J2" s="36" t="s">
        <v>74</v>
      </c>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2.25</v>
      </c>
      <c r="B3" s="39"/>
      <c r="C3" s="39"/>
      <c r="D3" s="39"/>
      <c r="E3" s="39"/>
      <c r="F3" s="39"/>
      <c r="G3" s="39"/>
      <c r="H3" s="40"/>
      <c r="I3" s="82"/>
      <c r="J3" s="36"/>
      <c r="K3" s="36"/>
      <c r="L3" s="36"/>
      <c r="M3" s="87"/>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75</v>
      </c>
      <c r="C4" s="39"/>
      <c r="D4" s="39"/>
      <c r="E4" s="39"/>
      <c r="F4" s="39"/>
      <c r="G4" s="46"/>
      <c r="H4" s="47"/>
      <c r="I4" s="89"/>
      <c r="J4" s="36" t="s">
        <v>76</v>
      </c>
      <c r="K4" s="90">
        <f>B14/(B13-B14)</f>
        <v>8.7846146374629688E-2</v>
      </c>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88"/>
      <c r="C5" s="39"/>
      <c r="D5" s="39"/>
      <c r="E5" s="39"/>
      <c r="F5" s="39"/>
      <c r="G5" s="46"/>
      <c r="H5" s="47"/>
      <c r="I5" s="89"/>
      <c r="J5" s="36"/>
      <c r="K5" s="36"/>
      <c r="L5" s="36"/>
      <c r="M5" s="36"/>
      <c r="N5" s="36"/>
      <c r="O5" s="36" t="s">
        <v>77</v>
      </c>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thickBot="1" x14ac:dyDescent="0.3">
      <c r="A6" s="91"/>
      <c r="B6" s="92" t="s">
        <v>78</v>
      </c>
      <c r="C6" s="93" t="s">
        <v>79</v>
      </c>
      <c r="D6" s="93" t="s">
        <v>80</v>
      </c>
      <c r="E6" s="94" t="s">
        <v>81</v>
      </c>
      <c r="F6" s="95" t="s">
        <v>82</v>
      </c>
      <c r="G6" s="96"/>
      <c r="H6" s="97"/>
      <c r="I6" s="98"/>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99">
        <v>2015</v>
      </c>
      <c r="C7" s="100">
        <v>94824</v>
      </c>
      <c r="D7" s="101">
        <v>0.98</v>
      </c>
      <c r="E7" s="102">
        <v>81518</v>
      </c>
      <c r="F7" s="103">
        <v>26000</v>
      </c>
      <c r="G7" s="104"/>
      <c r="H7" s="57"/>
      <c r="I7" s="82"/>
      <c r="J7" s="36" t="s">
        <v>83</v>
      </c>
      <c r="K7" s="36" t="s">
        <v>84</v>
      </c>
      <c r="L7" s="36" t="s">
        <v>85</v>
      </c>
      <c r="M7" s="36" t="s">
        <v>76</v>
      </c>
      <c r="N7" s="36" t="s">
        <v>86</v>
      </c>
      <c r="O7" s="36" t="s">
        <v>87</v>
      </c>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99">
        <v>2016</v>
      </c>
      <c r="C8" s="105">
        <v>97230</v>
      </c>
      <c r="D8" s="106">
        <v>1.01</v>
      </c>
      <c r="E8" s="107">
        <v>54051</v>
      </c>
      <c r="F8" s="108">
        <v>0</v>
      </c>
      <c r="G8" s="104"/>
      <c r="H8" s="57"/>
      <c r="I8" s="82"/>
      <c r="J8" s="36">
        <v>2015</v>
      </c>
      <c r="K8" s="36">
        <f>C7*D7</f>
        <v>92927.52</v>
      </c>
      <c r="L8" s="36">
        <f>(E7-F7)*(1+$B$12)^4</f>
        <v>64948.207534080015</v>
      </c>
      <c r="M8" s="109">
        <f>1+$K$4</f>
        <v>1.0878461463746296</v>
      </c>
      <c r="N8" s="36">
        <f>L8*M8</f>
        <v>70653.657279888634</v>
      </c>
      <c r="O8" s="110">
        <f>N8/K8</f>
        <v>0.76030929567353811</v>
      </c>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thickBot="1" x14ac:dyDescent="0.3">
      <c r="A9" s="42"/>
      <c r="B9" s="111">
        <v>2017</v>
      </c>
      <c r="C9" s="112">
        <v>94098</v>
      </c>
      <c r="D9" s="113">
        <v>1.01</v>
      </c>
      <c r="E9" s="114">
        <v>63412.999999999993</v>
      </c>
      <c r="F9" s="115">
        <v>6393</v>
      </c>
      <c r="G9" s="104"/>
      <c r="H9" s="57"/>
      <c r="I9" s="82"/>
      <c r="J9" s="36">
        <v>2016</v>
      </c>
      <c r="K9" s="36">
        <f t="shared" ref="K9:K10" si="0">C8*D8</f>
        <v>98202.3</v>
      </c>
      <c r="L9" s="36">
        <f>(E8-F8)*(1+$B$12)^3</f>
        <v>60800.024064000005</v>
      </c>
      <c r="M9" s="109">
        <f t="shared" ref="M9:M10" si="1">1+$K$4</f>
        <v>1.0878461463746296</v>
      </c>
      <c r="N9" s="36">
        <f t="shared" ref="N9:N10" si="2">L9*M9</f>
        <v>66141.071877507158</v>
      </c>
      <c r="O9" s="110">
        <f t="shared" ref="O9:O10" si="3">N9/K9</f>
        <v>0.67351856196348925</v>
      </c>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thickBot="1" x14ac:dyDescent="0.3">
      <c r="A10" s="42"/>
      <c r="B10" s="116"/>
      <c r="C10" s="117"/>
      <c r="D10" s="118"/>
      <c r="E10" s="117"/>
      <c r="F10" s="45"/>
      <c r="G10" s="117"/>
      <c r="H10" s="57"/>
      <c r="I10" s="89"/>
      <c r="J10" s="36">
        <v>2017</v>
      </c>
      <c r="K10" s="36">
        <f t="shared" si="0"/>
        <v>95038.98</v>
      </c>
      <c r="L10" s="36">
        <f>(E9-F9)*(1+$B$12)^2</f>
        <v>61672.832000000002</v>
      </c>
      <c r="M10" s="109">
        <f t="shared" si="1"/>
        <v>1.0878461463746296</v>
      </c>
      <c r="N10" s="36">
        <f t="shared" si="2"/>
        <v>67090.552627209938</v>
      </c>
      <c r="O10" s="110">
        <f t="shared" si="3"/>
        <v>0.70592669057696056</v>
      </c>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119">
        <v>0.06</v>
      </c>
      <c r="C11" s="120" t="s">
        <v>88</v>
      </c>
      <c r="D11" s="120"/>
      <c r="E11" s="120"/>
      <c r="F11" s="120"/>
      <c r="G11" s="121"/>
      <c r="H11" s="47"/>
      <c r="I11" s="122"/>
      <c r="J11" s="36" t="s">
        <v>89</v>
      </c>
      <c r="K11" s="36">
        <f>SUM(K8:K10)</f>
        <v>286168.8</v>
      </c>
      <c r="L11" s="36">
        <f>SUM(L8:L10)</f>
        <v>187421.06359808001</v>
      </c>
      <c r="M11" s="36"/>
      <c r="N11" s="36">
        <f>SUM(N8:N10)</f>
        <v>203885.2817846057</v>
      </c>
      <c r="O11" s="110">
        <f>N11/K11</f>
        <v>0.712465096770178</v>
      </c>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x14ac:dyDescent="0.25">
      <c r="A12" s="42"/>
      <c r="B12" s="123">
        <v>0.04</v>
      </c>
      <c r="C12" s="45" t="s">
        <v>90</v>
      </c>
      <c r="D12" s="45"/>
      <c r="E12" s="45"/>
      <c r="F12" s="45"/>
      <c r="G12" s="124"/>
      <c r="H12" s="47"/>
      <c r="I12" s="89"/>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125">
        <v>559996</v>
      </c>
      <c r="C13" s="45" t="s">
        <v>91</v>
      </c>
      <c r="D13" s="45"/>
      <c r="E13" s="45"/>
      <c r="F13" s="45"/>
      <c r="G13" s="126"/>
      <c r="H13" s="47"/>
      <c r="I13" s="122"/>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thickBot="1" x14ac:dyDescent="0.3">
      <c r="A14" s="42"/>
      <c r="B14" s="127">
        <v>45221</v>
      </c>
      <c r="C14" s="128" t="s">
        <v>92</v>
      </c>
      <c r="D14" s="128"/>
      <c r="E14" s="128"/>
      <c r="F14" s="128"/>
      <c r="G14" s="129"/>
      <c r="H14" s="47"/>
      <c r="I14" s="89" t="s">
        <v>21</v>
      </c>
      <c r="J14" s="36" t="s">
        <v>93</v>
      </c>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49"/>
      <c r="C15" s="45"/>
      <c r="D15" s="45"/>
      <c r="E15" s="45"/>
      <c r="F15" s="45"/>
      <c r="G15" s="46"/>
      <c r="H15" s="47"/>
      <c r="I15" s="89"/>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130" t="s">
        <v>94</v>
      </c>
      <c r="C16" s="130"/>
      <c r="D16" s="130"/>
      <c r="E16" s="130"/>
      <c r="F16" s="130"/>
      <c r="G16" s="130"/>
      <c r="H16" s="131"/>
      <c r="I16" s="89" t="s">
        <v>95</v>
      </c>
      <c r="J16" s="132">
        <f>B14/10</f>
        <v>4522.1000000000004</v>
      </c>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130" t="s">
        <v>96</v>
      </c>
      <c r="C17" s="130"/>
      <c r="D17" s="130"/>
      <c r="E17" s="130"/>
      <c r="F17" s="130"/>
      <c r="G17" s="130"/>
      <c r="H17" s="131"/>
      <c r="I17" s="89"/>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130" t="s">
        <v>97</v>
      </c>
      <c r="C18" s="130"/>
      <c r="D18" s="130"/>
      <c r="E18" s="130"/>
      <c r="F18" s="130"/>
      <c r="G18" s="130"/>
      <c r="H18" s="131"/>
      <c r="I18" s="89"/>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2"/>
      <c r="B19" s="88"/>
      <c r="C19" s="39"/>
      <c r="D19" s="39"/>
      <c r="E19" s="39"/>
      <c r="F19" s="39"/>
      <c r="G19" s="46"/>
      <c r="H19" s="40"/>
      <c r="I19" s="82"/>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v>2</v>
      </c>
      <c r="B20" s="39" t="s">
        <v>46</v>
      </c>
      <c r="C20" s="39"/>
      <c r="D20" s="39"/>
      <c r="E20" s="39"/>
      <c r="F20" s="39"/>
      <c r="G20" s="46"/>
      <c r="H20" s="40"/>
      <c r="I20" s="82"/>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133" t="s">
        <v>98</v>
      </c>
      <c r="C21" s="133"/>
      <c r="D21" s="133"/>
      <c r="E21" s="133"/>
      <c r="F21" s="133"/>
      <c r="G21" s="133"/>
      <c r="H21" s="134"/>
      <c r="I21" s="82"/>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c r="B22" s="135" t="s">
        <v>99</v>
      </c>
      <c r="C22" s="135"/>
      <c r="D22" s="136"/>
      <c r="E22" s="136"/>
      <c r="F22" s="136"/>
      <c r="G22" s="136"/>
      <c r="H22" s="137"/>
      <c r="I22" s="82"/>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c r="B23" s="133"/>
      <c r="C23" s="133"/>
      <c r="D23" s="133"/>
      <c r="E23" s="133"/>
      <c r="F23" s="133"/>
      <c r="G23" s="133"/>
      <c r="H23" s="134"/>
      <c r="I23" s="82"/>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v>0.25</v>
      </c>
      <c r="B24" s="133" t="s">
        <v>21</v>
      </c>
      <c r="C24" s="133"/>
      <c r="D24" s="133"/>
      <c r="E24" s="133"/>
      <c r="F24" s="133"/>
      <c r="G24" s="133"/>
      <c r="H24" s="134"/>
      <c r="I24" s="82"/>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2"/>
      <c r="B25" s="133" t="s">
        <v>100</v>
      </c>
      <c r="C25" s="133"/>
      <c r="D25" s="133"/>
      <c r="E25" s="133"/>
      <c r="F25" s="133"/>
      <c r="G25" s="133"/>
      <c r="H25" s="134"/>
      <c r="I25" s="82"/>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thickBot="1" x14ac:dyDescent="0.3">
      <c r="A26" s="75"/>
      <c r="B26" s="76"/>
      <c r="C26" s="76"/>
      <c r="D26" s="76"/>
      <c r="E26" s="76"/>
      <c r="F26" s="76"/>
      <c r="G26" s="76"/>
      <c r="H26" s="77"/>
      <c r="I26" s="82"/>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
      <c r="B27" s="82"/>
      <c r="C27" s="82"/>
      <c r="D27" s="82"/>
      <c r="E27" s="82"/>
      <c r="F27" s="82"/>
      <c r="G27" s="82"/>
      <c r="H27" s="82"/>
      <c r="I27" s="82"/>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82"/>
      <c r="B28" s="82"/>
      <c r="C28" s="82"/>
      <c r="D28" s="82"/>
      <c r="E28" s="82"/>
      <c r="F28" s="82"/>
      <c r="G28" s="82"/>
      <c r="H28" s="82"/>
      <c r="I28" s="82"/>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82"/>
      <c r="B29" s="82"/>
      <c r="C29" s="82"/>
      <c r="D29" s="82"/>
      <c r="E29" s="82"/>
      <c r="F29" s="82"/>
      <c r="G29" s="82"/>
      <c r="H29" s="82"/>
      <c r="I29" s="82"/>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82"/>
      <c r="H30" s="82"/>
      <c r="I30" s="82"/>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c r="C31" s="82"/>
      <c r="D31" s="82"/>
      <c r="E31" s="82"/>
      <c r="F31" s="82"/>
      <c r="G31" s="82"/>
      <c r="H31" s="82"/>
      <c r="I31" s="82"/>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82"/>
      <c r="D32" s="82"/>
      <c r="E32" s="82"/>
      <c r="F32" s="82"/>
      <c r="G32" s="82"/>
      <c r="H32" s="82"/>
      <c r="I32" s="82"/>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c r="C33" s="82"/>
      <c r="D33" s="82"/>
      <c r="E33" s="82"/>
      <c r="F33" s="82"/>
      <c r="G33" s="82"/>
      <c r="H33" s="82"/>
      <c r="I33" s="82"/>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c r="C34" s="82"/>
      <c r="D34" s="82"/>
      <c r="E34" s="82"/>
      <c r="F34" s="82"/>
      <c r="G34" s="82"/>
      <c r="H34" s="82"/>
      <c r="I34" s="82"/>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82"/>
      <c r="H35" s="82"/>
      <c r="I35" s="82"/>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c r="C36" s="82"/>
      <c r="D36" s="82"/>
      <c r="E36" s="82"/>
      <c r="F36" s="82"/>
      <c r="G36" s="82"/>
      <c r="H36" s="82"/>
      <c r="I36" s="82"/>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c r="C37" s="82"/>
      <c r="D37" s="82"/>
      <c r="E37" s="82"/>
      <c r="F37" s="82"/>
      <c r="G37" s="82"/>
      <c r="H37" s="82"/>
      <c r="I37" s="82"/>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c r="D38" s="82"/>
      <c r="E38" s="82"/>
      <c r="F38" s="82"/>
      <c r="G38" s="82"/>
      <c r="H38" s="82"/>
      <c r="I38" s="82"/>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82"/>
      <c r="H39" s="82"/>
      <c r="I39" s="82"/>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82"/>
      <c r="H40" s="82"/>
      <c r="I40" s="82"/>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82"/>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82"/>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82"/>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82"/>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82"/>
      <c r="H61" s="82"/>
      <c r="I61" s="82"/>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74" firstPageNumber="0" orientation="portrait"/>
  <headerFooter alignWithMargins="0">
    <oddHeader>&amp;CSpring 2018 Exam 5 Make-Up</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Z200"/>
  <sheetViews>
    <sheetView zoomScaleNormal="100" zoomScalePageLayoutView="80" workbookViewId="0"/>
  </sheetViews>
  <sheetFormatPr defaultColWidth="0" defaultRowHeight="0" customHeight="1" zeroHeight="1" x14ac:dyDescent="0.25"/>
  <cols>
    <col min="1" max="1" width="18.125" style="37" customWidth="1"/>
    <col min="2" max="2" width="17.625" style="37" bestFit="1" customWidth="1"/>
    <col min="3" max="3" width="13.875" style="37" customWidth="1"/>
    <col min="4" max="4" width="13.5" style="37" customWidth="1"/>
    <col min="5" max="5" width="13.25" style="37" customWidth="1"/>
    <col min="6" max="6" width="10.75" style="37" bestFit="1" customWidth="1"/>
    <col min="7" max="7" width="25" style="37" customWidth="1"/>
    <col min="8" max="8" width="19.125" style="37" customWidth="1"/>
    <col min="9" max="49" width="10.625" style="37" customWidth="1"/>
    <col min="50" max="16384" width="10.625" style="37" hidden="1"/>
  </cols>
  <sheetData>
    <row r="1" spans="1:52" ht="15.75" thickBot="1" x14ac:dyDescent="0.3">
      <c r="A1" s="1">
        <v>3</v>
      </c>
      <c r="B1" s="2"/>
      <c r="C1" s="33"/>
      <c r="D1" s="33"/>
      <c r="E1" s="33"/>
      <c r="F1" s="33"/>
      <c r="G1" s="33"/>
      <c r="H1" s="34"/>
      <c r="I1" s="8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 x14ac:dyDescent="0.25">
      <c r="A2" s="38" t="s">
        <v>0</v>
      </c>
      <c r="B2" s="39"/>
      <c r="C2" s="39"/>
      <c r="D2" s="39"/>
      <c r="E2" s="39"/>
      <c r="F2" s="39"/>
      <c r="G2" s="39"/>
      <c r="H2" s="40"/>
      <c r="I2" s="82"/>
      <c r="J2" s="36"/>
      <c r="K2" s="36" t="s">
        <v>46</v>
      </c>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 x14ac:dyDescent="0.25">
      <c r="A3" s="42">
        <v>2.25</v>
      </c>
      <c r="B3" s="39"/>
      <c r="C3" s="39"/>
      <c r="D3" s="39"/>
      <c r="E3" s="39"/>
      <c r="F3" s="39"/>
      <c r="G3" s="39"/>
      <c r="H3" s="40"/>
      <c r="I3" s="82"/>
      <c r="J3" s="36"/>
      <c r="K3" s="36" t="s">
        <v>98</v>
      </c>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 x14ac:dyDescent="0.25">
      <c r="A4" s="42"/>
      <c r="B4" s="88" t="s">
        <v>75</v>
      </c>
      <c r="C4" s="39"/>
      <c r="D4" s="39"/>
      <c r="E4" s="39"/>
      <c r="F4" s="39"/>
      <c r="G4" s="46"/>
      <c r="H4" s="47"/>
      <c r="I4" s="89"/>
      <c r="J4" s="36"/>
      <c r="K4" s="36" t="s">
        <v>99</v>
      </c>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32.25" customHeight="1" thickBot="1" x14ac:dyDescent="0.3">
      <c r="A5" s="42"/>
      <c r="B5" s="88"/>
      <c r="C5" s="39"/>
      <c r="D5" s="39"/>
      <c r="E5" s="39"/>
      <c r="F5" s="39"/>
      <c r="G5" s="46"/>
      <c r="H5" s="47"/>
      <c r="I5" s="89"/>
      <c r="J5" s="36"/>
      <c r="K5" s="36"/>
      <c r="L5" s="36" t="s">
        <v>101</v>
      </c>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thickBot="1" x14ac:dyDescent="0.3">
      <c r="A6" s="91"/>
      <c r="B6" s="92" t="s">
        <v>78</v>
      </c>
      <c r="C6" s="93" t="s">
        <v>79</v>
      </c>
      <c r="D6" s="93" t="s">
        <v>80</v>
      </c>
      <c r="E6" s="94" t="s">
        <v>81</v>
      </c>
      <c r="F6" s="95" t="s">
        <v>82</v>
      </c>
      <c r="G6" s="96"/>
      <c r="H6" s="97"/>
      <c r="I6" s="98"/>
      <c r="J6" s="36" t="s">
        <v>102</v>
      </c>
      <c r="K6" s="92" t="s">
        <v>78</v>
      </c>
      <c r="L6" s="93" t="s">
        <v>79</v>
      </c>
      <c r="M6" s="93" t="s">
        <v>80</v>
      </c>
      <c r="N6" s="94" t="s">
        <v>81</v>
      </c>
      <c r="O6" s="95" t="s">
        <v>82</v>
      </c>
      <c r="P6" s="138" t="s">
        <v>103</v>
      </c>
      <c r="Q6" s="138" t="s">
        <v>104</v>
      </c>
      <c r="R6" s="138" t="s">
        <v>105</v>
      </c>
      <c r="S6" s="139" t="s">
        <v>106</v>
      </c>
      <c r="T6" s="138" t="s">
        <v>107</v>
      </c>
      <c r="U6" s="139" t="s">
        <v>108</v>
      </c>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99">
        <v>2015</v>
      </c>
      <c r="C7" s="140">
        <v>94824</v>
      </c>
      <c r="D7" s="106">
        <v>0.98</v>
      </c>
      <c r="E7" s="107">
        <v>81518</v>
      </c>
      <c r="F7" s="108">
        <v>26000</v>
      </c>
      <c r="G7" s="104"/>
      <c r="H7" s="57"/>
      <c r="I7" s="82"/>
      <c r="J7" s="36">
        <f>J8+1</f>
        <v>4</v>
      </c>
      <c r="K7" s="99">
        <v>2015</v>
      </c>
      <c r="L7" s="140">
        <v>94824</v>
      </c>
      <c r="M7" s="106">
        <v>0.98</v>
      </c>
      <c r="N7" s="107">
        <v>81518</v>
      </c>
      <c r="O7" s="108">
        <v>26000</v>
      </c>
      <c r="P7" s="141">
        <f>N7-O7</f>
        <v>55518</v>
      </c>
      <c r="Q7" s="142">
        <f>(1+$B$12)^J7</f>
        <v>1.1698585600000002</v>
      </c>
      <c r="R7" s="36">
        <f>P7*Q7</f>
        <v>64948.207534080015</v>
      </c>
      <c r="S7" s="142">
        <f>L7*M7</f>
        <v>92927.52</v>
      </c>
      <c r="T7" s="36">
        <f>R7/S7</f>
        <v>0.69891252380435864</v>
      </c>
      <c r="U7" s="132">
        <f>T7*(1+$L$16)</f>
        <v>0.76030929567353811</v>
      </c>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99">
        <v>2016</v>
      </c>
      <c r="C8" s="140">
        <v>97230</v>
      </c>
      <c r="D8" s="106">
        <v>1.01</v>
      </c>
      <c r="E8" s="107">
        <v>54051</v>
      </c>
      <c r="F8" s="108">
        <v>0</v>
      </c>
      <c r="G8" s="104"/>
      <c r="H8" s="57"/>
      <c r="I8" s="82"/>
      <c r="J8" s="36">
        <f>J9+1</f>
        <v>3</v>
      </c>
      <c r="K8" s="99">
        <v>2016</v>
      </c>
      <c r="L8" s="140">
        <v>97230</v>
      </c>
      <c r="M8" s="106">
        <v>1.01</v>
      </c>
      <c r="N8" s="107">
        <v>54051</v>
      </c>
      <c r="O8" s="108">
        <v>0</v>
      </c>
      <c r="P8" s="141">
        <f t="shared" ref="P8:P9" si="0">N8-O8</f>
        <v>54051</v>
      </c>
      <c r="Q8" s="142">
        <f t="shared" ref="Q8:Q9" si="1">(1+$B$12)^J8</f>
        <v>1.1248640000000001</v>
      </c>
      <c r="R8" s="36">
        <f t="shared" ref="R8:R9" si="2">P8*Q8</f>
        <v>60800.024064000005</v>
      </c>
      <c r="S8" s="142">
        <f t="shared" ref="S8:S9" si="3">L8*M8</f>
        <v>98202.3</v>
      </c>
      <c r="T8" s="36">
        <f t="shared" ref="T8:T10" si="4">R8/S8</f>
        <v>0.61913034688596913</v>
      </c>
      <c r="U8" s="132">
        <f t="shared" ref="U8:U10" si="5">T8*(1+$L$16)</f>
        <v>0.67351856196348914</v>
      </c>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thickBot="1" x14ac:dyDescent="0.3">
      <c r="A9" s="42"/>
      <c r="B9" s="111">
        <v>2017</v>
      </c>
      <c r="C9" s="143">
        <v>94098</v>
      </c>
      <c r="D9" s="113">
        <v>1.01</v>
      </c>
      <c r="E9" s="114">
        <v>63412.999999999993</v>
      </c>
      <c r="F9" s="115">
        <v>6393</v>
      </c>
      <c r="G9" s="104"/>
      <c r="H9" s="57"/>
      <c r="I9" s="82"/>
      <c r="J9" s="36">
        <f>2</f>
        <v>2</v>
      </c>
      <c r="K9" s="111">
        <v>2017</v>
      </c>
      <c r="L9" s="143">
        <v>94098</v>
      </c>
      <c r="M9" s="113">
        <v>1.01</v>
      </c>
      <c r="N9" s="114">
        <v>63412.999999999993</v>
      </c>
      <c r="O9" s="115">
        <v>6393</v>
      </c>
      <c r="P9" s="141">
        <f t="shared" si="0"/>
        <v>57019.999999999993</v>
      </c>
      <c r="Q9" s="142">
        <f t="shared" si="1"/>
        <v>1.0816000000000001</v>
      </c>
      <c r="R9" s="36">
        <f t="shared" si="2"/>
        <v>61672.832000000002</v>
      </c>
      <c r="S9" s="142">
        <f t="shared" si="3"/>
        <v>95038.98</v>
      </c>
      <c r="T9" s="36">
        <f t="shared" si="4"/>
        <v>0.64892144254915196</v>
      </c>
      <c r="U9" s="132">
        <f t="shared" si="5"/>
        <v>0.70592669057696056</v>
      </c>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thickBot="1" x14ac:dyDescent="0.3">
      <c r="A10" s="42"/>
      <c r="B10" s="116"/>
      <c r="C10" s="117"/>
      <c r="D10" s="118"/>
      <c r="E10" s="117"/>
      <c r="F10" s="45"/>
      <c r="G10" s="117"/>
      <c r="H10" s="57"/>
      <c r="I10" s="89"/>
      <c r="J10" s="36"/>
      <c r="K10" s="36"/>
      <c r="L10" s="141">
        <f>SUM(L7:L9)</f>
        <v>286152</v>
      </c>
      <c r="M10" s="36"/>
      <c r="N10" s="141">
        <f>SUM(N7:N9)</f>
        <v>198982</v>
      </c>
      <c r="O10" s="141">
        <f>SUM(O7:O9)</f>
        <v>32393</v>
      </c>
      <c r="P10" s="36"/>
      <c r="Q10" s="36"/>
      <c r="R10" s="144">
        <f>SUM(R7:R9)</f>
        <v>187421.06359808001</v>
      </c>
      <c r="S10" s="145">
        <f>SUM(S7:S9)</f>
        <v>286168.8</v>
      </c>
      <c r="T10" s="146">
        <f t="shared" si="4"/>
        <v>0.6549318569951722</v>
      </c>
      <c r="U10" s="147">
        <f t="shared" si="5"/>
        <v>0.71246509677017811</v>
      </c>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119">
        <v>0.06</v>
      </c>
      <c r="C11" s="120" t="s">
        <v>88</v>
      </c>
      <c r="D11" s="120"/>
      <c r="E11" s="120"/>
      <c r="F11" s="120"/>
      <c r="G11" s="121"/>
      <c r="H11" s="47"/>
      <c r="I11" s="122"/>
      <c r="J11" s="36"/>
      <c r="K11" s="36" t="s">
        <v>109</v>
      </c>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x14ac:dyDescent="0.25">
      <c r="A12" s="42"/>
      <c r="B12" s="123">
        <v>0.04</v>
      </c>
      <c r="C12" s="45" t="s">
        <v>90</v>
      </c>
      <c r="D12" s="45"/>
      <c r="E12" s="45"/>
      <c r="F12" s="45"/>
      <c r="G12" s="124"/>
      <c r="H12" s="47"/>
      <c r="I12" s="89"/>
      <c r="J12" s="36"/>
      <c r="K12" s="36"/>
      <c r="L12" s="36"/>
      <c r="M12" s="36"/>
      <c r="N12" s="36"/>
      <c r="O12" s="36"/>
      <c r="P12" s="36"/>
      <c r="Q12" s="36"/>
      <c r="R12" s="36"/>
      <c r="S12" s="36"/>
      <c r="T12" s="36" t="s">
        <v>110</v>
      </c>
      <c r="U12" s="148">
        <f>U10</f>
        <v>0.71246509677017811</v>
      </c>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125">
        <v>559996</v>
      </c>
      <c r="C13" s="45" t="s">
        <v>91</v>
      </c>
      <c r="D13" s="45"/>
      <c r="E13" s="45"/>
      <c r="F13" s="45"/>
      <c r="G13" s="126"/>
      <c r="H13" s="47"/>
      <c r="I13" s="122"/>
      <c r="J13" s="36"/>
      <c r="K13" s="146" t="s">
        <v>111</v>
      </c>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thickBot="1" x14ac:dyDescent="0.3">
      <c r="A14" s="42"/>
      <c r="B14" s="127">
        <v>45221</v>
      </c>
      <c r="C14" s="128" t="s">
        <v>92</v>
      </c>
      <c r="D14" s="128"/>
      <c r="E14" s="128"/>
      <c r="F14" s="128"/>
      <c r="G14" s="129"/>
      <c r="H14" s="47"/>
      <c r="I14" s="89"/>
      <c r="J14" s="36"/>
      <c r="K14" s="36" t="s">
        <v>112</v>
      </c>
      <c r="L14" s="87">
        <f>B13</f>
        <v>559996</v>
      </c>
      <c r="M14" s="36"/>
      <c r="N14" s="36"/>
      <c r="O14" s="36"/>
      <c r="P14" s="36"/>
      <c r="Q14" s="36" t="s">
        <v>113</v>
      </c>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49"/>
      <c r="C15" s="45"/>
      <c r="D15" s="45"/>
      <c r="E15" s="45"/>
      <c r="F15" s="45"/>
      <c r="G15" s="46"/>
      <c r="H15" s="47"/>
      <c r="I15" s="89"/>
      <c r="J15" s="36"/>
      <c r="K15" s="36" t="s">
        <v>114</v>
      </c>
      <c r="L15" s="87">
        <f>B14</f>
        <v>45221</v>
      </c>
      <c r="M15" s="36"/>
      <c r="N15" s="36"/>
      <c r="O15" s="36"/>
      <c r="P15" s="36"/>
      <c r="Q15" s="36" t="s">
        <v>115</v>
      </c>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130" t="s">
        <v>94</v>
      </c>
      <c r="C16" s="130"/>
      <c r="D16" s="130"/>
      <c r="E16" s="130"/>
      <c r="F16" s="130"/>
      <c r="G16" s="130"/>
      <c r="H16" s="131"/>
      <c r="I16" s="89"/>
      <c r="J16" s="36"/>
      <c r="K16" s="36" t="s">
        <v>116</v>
      </c>
      <c r="L16" s="149">
        <f>L15/(L14-L15)</f>
        <v>8.7846146374629688E-2</v>
      </c>
      <c r="M16" s="36"/>
      <c r="N16" s="36"/>
      <c r="O16" s="36"/>
      <c r="P16" s="36"/>
      <c r="Q16" s="36" t="s">
        <v>117</v>
      </c>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130" t="s">
        <v>96</v>
      </c>
      <c r="C17" s="130"/>
      <c r="D17" s="130"/>
      <c r="E17" s="130"/>
      <c r="F17" s="130"/>
      <c r="G17" s="130"/>
      <c r="H17" s="131"/>
      <c r="I17" s="89"/>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130" t="s">
        <v>97</v>
      </c>
      <c r="C18" s="130"/>
      <c r="D18" s="130"/>
      <c r="E18" s="130"/>
      <c r="F18" s="130"/>
      <c r="G18" s="130"/>
      <c r="H18" s="131"/>
      <c r="I18" s="89"/>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2"/>
      <c r="B19" s="88"/>
      <c r="C19" s="39"/>
      <c r="D19" s="39"/>
      <c r="E19" s="39"/>
      <c r="F19" s="39"/>
      <c r="G19" s="46"/>
      <c r="H19" s="40"/>
      <c r="I19" s="82"/>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v>2</v>
      </c>
      <c r="B20" s="39" t="s">
        <v>46</v>
      </c>
      <c r="C20" s="39"/>
      <c r="D20" s="39"/>
      <c r="E20" s="39"/>
      <c r="F20" s="39"/>
      <c r="G20" s="46"/>
      <c r="H20" s="40"/>
      <c r="I20" s="82"/>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133" t="s">
        <v>98</v>
      </c>
      <c r="C21" s="133"/>
      <c r="D21" s="133"/>
      <c r="E21" s="133"/>
      <c r="F21" s="133"/>
      <c r="G21" s="133"/>
      <c r="H21" s="134"/>
      <c r="I21" s="82"/>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c r="B22" s="135" t="s">
        <v>99</v>
      </c>
      <c r="C22" s="135"/>
      <c r="D22" s="136"/>
      <c r="E22" s="136"/>
      <c r="F22" s="136"/>
      <c r="G22" s="136"/>
      <c r="H22" s="137"/>
      <c r="I22" s="82"/>
      <c r="J22" s="36"/>
      <c r="K22" s="36" t="s">
        <v>21</v>
      </c>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c r="B23" s="133"/>
      <c r="C23" s="133"/>
      <c r="D23" s="133"/>
      <c r="E23" s="133"/>
      <c r="F23" s="133"/>
      <c r="G23" s="133"/>
      <c r="H23" s="134"/>
      <c r="I23" s="82"/>
      <c r="J23" s="36"/>
      <c r="K23" s="36" t="s">
        <v>100</v>
      </c>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v>0.25</v>
      </c>
      <c r="B24" s="133" t="s">
        <v>21</v>
      </c>
      <c r="C24" s="133"/>
      <c r="D24" s="133"/>
      <c r="E24" s="133"/>
      <c r="F24" s="133"/>
      <c r="G24" s="133"/>
      <c r="H24" s="134"/>
      <c r="I24" s="82"/>
      <c r="J24" s="36"/>
      <c r="K24" s="36"/>
      <c r="L24" s="36" t="s">
        <v>118</v>
      </c>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2"/>
      <c r="B25" s="133" t="s">
        <v>100</v>
      </c>
      <c r="C25" s="133"/>
      <c r="D25" s="133"/>
      <c r="E25" s="133"/>
      <c r="F25" s="133"/>
      <c r="G25" s="133"/>
      <c r="H25" s="134"/>
      <c r="I25" s="82"/>
      <c r="J25" s="36"/>
      <c r="K25" s="36"/>
      <c r="L25" s="36" t="s">
        <v>119</v>
      </c>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thickBot="1" x14ac:dyDescent="0.3">
      <c r="A26" s="75"/>
      <c r="B26" s="76"/>
      <c r="C26" s="76"/>
      <c r="D26" s="76"/>
      <c r="E26" s="76"/>
      <c r="F26" s="76"/>
      <c r="G26" s="76"/>
      <c r="H26" s="77"/>
      <c r="I26" s="82"/>
      <c r="J26" s="36"/>
      <c r="K26" s="36"/>
      <c r="L26" s="36" t="s">
        <v>120</v>
      </c>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
      <c r="B27" s="82"/>
      <c r="C27" s="82"/>
      <c r="D27" s="82"/>
      <c r="E27" s="82"/>
      <c r="F27" s="82"/>
      <c r="G27" s="82"/>
      <c r="H27" s="82"/>
      <c r="I27" s="82"/>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82"/>
      <c r="B28" s="82"/>
      <c r="C28" s="82"/>
      <c r="D28" s="82"/>
      <c r="E28" s="82"/>
      <c r="F28" s="82"/>
      <c r="G28" s="82"/>
      <c r="H28" s="82"/>
      <c r="I28" s="82"/>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82"/>
      <c r="B29" s="82"/>
      <c r="C29" s="82"/>
      <c r="D29" s="82"/>
      <c r="E29" s="82"/>
      <c r="F29" s="82"/>
      <c r="G29" s="82"/>
      <c r="H29" s="82"/>
      <c r="I29" s="82"/>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82"/>
      <c r="H30" s="82"/>
      <c r="I30" s="82"/>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c r="C31" s="82"/>
      <c r="D31" s="82"/>
      <c r="E31" s="82"/>
      <c r="F31" s="82"/>
      <c r="G31" s="82"/>
      <c r="H31" s="82"/>
      <c r="I31" s="82"/>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82"/>
      <c r="D32" s="82"/>
      <c r="E32" s="82"/>
      <c r="F32" s="82"/>
      <c r="G32" s="82"/>
      <c r="H32" s="82"/>
      <c r="I32" s="82"/>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c r="C33" s="82"/>
      <c r="D33" s="82"/>
      <c r="E33" s="82"/>
      <c r="F33" s="82"/>
      <c r="G33" s="82"/>
      <c r="H33" s="82"/>
      <c r="I33" s="82"/>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c r="C34" s="82"/>
      <c r="D34" s="82"/>
      <c r="E34" s="82"/>
      <c r="F34" s="82"/>
      <c r="G34" s="82"/>
      <c r="H34" s="82"/>
      <c r="I34" s="82"/>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82"/>
      <c r="H35" s="82"/>
      <c r="I35" s="82"/>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c r="C36" s="82"/>
      <c r="D36" s="82"/>
      <c r="E36" s="82"/>
      <c r="F36" s="82"/>
      <c r="G36" s="82"/>
      <c r="H36" s="82"/>
      <c r="I36" s="82"/>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c r="C37" s="82"/>
      <c r="D37" s="82"/>
      <c r="E37" s="82"/>
      <c r="F37" s="82"/>
      <c r="G37" s="82"/>
      <c r="H37" s="82"/>
      <c r="I37" s="82"/>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c r="D38" s="82"/>
      <c r="E38" s="82"/>
      <c r="F38" s="82"/>
      <c r="G38" s="82"/>
      <c r="H38" s="82"/>
      <c r="I38" s="82"/>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82"/>
      <c r="H39" s="82"/>
      <c r="I39" s="82"/>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82"/>
      <c r="H40" s="82"/>
      <c r="I40" s="82"/>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82"/>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82"/>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82"/>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82"/>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82"/>
      <c r="H61" s="82"/>
      <c r="I61" s="82"/>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74" firstPageNumber="0" orientation="portrait"/>
  <headerFooter alignWithMargins="0">
    <oddHeader>&amp;CSpring 2018 Exam 5 Make-Up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Z200"/>
  <sheetViews>
    <sheetView workbookViewId="0"/>
  </sheetViews>
  <sheetFormatPr defaultColWidth="0" defaultRowHeight="0" customHeight="1" zeroHeight="1" x14ac:dyDescent="0.25"/>
  <cols>
    <col min="1" max="1" width="18.125" style="37" customWidth="1"/>
    <col min="2" max="2" width="17.625" style="37" bestFit="1" customWidth="1"/>
    <col min="3" max="3" width="13.875" style="37" customWidth="1"/>
    <col min="4" max="4" width="13.5" style="37" customWidth="1"/>
    <col min="5" max="5" width="13.25" style="37" customWidth="1"/>
    <col min="6" max="6" width="10.75" style="37" bestFit="1" customWidth="1"/>
    <col min="7" max="7" width="24.5" style="37" customWidth="1"/>
    <col min="8" max="49" width="10.625" style="37" customWidth="1"/>
    <col min="50" max="16384" width="10.625" style="37" hidden="1"/>
  </cols>
  <sheetData>
    <row r="1" spans="1:52" ht="15.75" thickBot="1" x14ac:dyDescent="0.3">
      <c r="A1" s="1">
        <v>3</v>
      </c>
      <c r="B1" s="2"/>
      <c r="C1" s="33"/>
      <c r="D1" s="33"/>
      <c r="E1" s="33"/>
      <c r="F1" s="33"/>
      <c r="G1" s="33"/>
      <c r="H1" s="34"/>
      <c r="I1" s="8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row>
    <row r="2" spans="1:52" ht="15.75" customHeight="1" x14ac:dyDescent="0.25">
      <c r="A2" s="38" t="s">
        <v>0</v>
      </c>
      <c r="B2" s="39"/>
      <c r="C2" s="39"/>
      <c r="D2" s="39"/>
      <c r="E2" s="39"/>
      <c r="F2" s="39"/>
      <c r="G2" s="39"/>
      <c r="H2" s="40"/>
      <c r="I2" s="82"/>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52" ht="15.75" customHeight="1" x14ac:dyDescent="0.25">
      <c r="A3" s="42">
        <v>2.25</v>
      </c>
      <c r="B3" s="39"/>
      <c r="C3" s="39"/>
      <c r="D3" s="39"/>
      <c r="E3" s="39"/>
      <c r="F3" s="39"/>
      <c r="G3" s="39"/>
      <c r="H3" s="40"/>
      <c r="I3" s="82"/>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row>
    <row r="4" spans="1:52" ht="15.75" customHeight="1" x14ac:dyDescent="0.25">
      <c r="A4" s="42"/>
      <c r="B4" s="88" t="s">
        <v>75</v>
      </c>
      <c r="C4" s="39"/>
      <c r="D4" s="39"/>
      <c r="E4" s="39"/>
      <c r="F4" s="39"/>
      <c r="G4" s="46"/>
      <c r="H4" s="47"/>
      <c r="I4" s="89"/>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row>
    <row r="5" spans="1:52" ht="15.75" customHeight="1" thickBot="1" x14ac:dyDescent="0.3">
      <c r="A5" s="42"/>
      <c r="B5" s="88"/>
      <c r="C5" s="39"/>
      <c r="D5" s="39"/>
      <c r="E5" s="39"/>
      <c r="F5" s="39"/>
      <c r="G5" s="46"/>
      <c r="H5" s="47"/>
      <c r="I5" s="89"/>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row>
    <row r="6" spans="1:52" ht="15.75" customHeight="1" thickBot="1" x14ac:dyDescent="0.3">
      <c r="A6" s="91"/>
      <c r="B6" s="92" t="s">
        <v>78</v>
      </c>
      <c r="C6" s="93" t="s">
        <v>79</v>
      </c>
      <c r="D6" s="93" t="s">
        <v>80</v>
      </c>
      <c r="E6" s="94" t="s">
        <v>81</v>
      </c>
      <c r="F6" s="95" t="s">
        <v>82</v>
      </c>
      <c r="G6" s="96"/>
      <c r="H6" s="97"/>
      <c r="I6" s="98"/>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row>
    <row r="7" spans="1:52" ht="15.75" customHeight="1" x14ac:dyDescent="0.25">
      <c r="A7" s="42"/>
      <c r="B7" s="99">
        <v>2015</v>
      </c>
      <c r="C7" s="140">
        <v>94824</v>
      </c>
      <c r="D7" s="106">
        <v>0.98</v>
      </c>
      <c r="E7" s="107">
        <v>81518</v>
      </c>
      <c r="F7" s="108">
        <v>26000</v>
      </c>
      <c r="G7" s="104"/>
      <c r="H7" s="57"/>
      <c r="I7" s="82"/>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row>
    <row r="8" spans="1:52" ht="15.75" customHeight="1" x14ac:dyDescent="0.25">
      <c r="A8" s="42"/>
      <c r="B8" s="99">
        <v>2016</v>
      </c>
      <c r="C8" s="140">
        <v>97230</v>
      </c>
      <c r="D8" s="106">
        <v>1.01</v>
      </c>
      <c r="E8" s="107">
        <v>54051</v>
      </c>
      <c r="F8" s="108">
        <v>0</v>
      </c>
      <c r="G8" s="104"/>
      <c r="H8" s="57"/>
      <c r="I8" s="82"/>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row>
    <row r="9" spans="1:52" ht="15.75" customHeight="1" thickBot="1" x14ac:dyDescent="0.3">
      <c r="A9" s="42"/>
      <c r="B9" s="111">
        <v>2017</v>
      </c>
      <c r="C9" s="143">
        <v>94098</v>
      </c>
      <c r="D9" s="113">
        <v>1.01</v>
      </c>
      <c r="E9" s="114">
        <v>63412.999999999993</v>
      </c>
      <c r="F9" s="115">
        <v>6393</v>
      </c>
      <c r="G9" s="104"/>
      <c r="H9" s="57"/>
      <c r="I9" s="82"/>
      <c r="J9" s="36" t="s">
        <v>121</v>
      </c>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ht="15.75" customHeight="1" thickBot="1" x14ac:dyDescent="0.3">
      <c r="A10" s="42"/>
      <c r="B10" s="116"/>
      <c r="C10" s="117"/>
      <c r="D10" s="118"/>
      <c r="E10" s="117"/>
      <c r="F10" s="45"/>
      <c r="G10" s="117"/>
      <c r="H10" s="57"/>
      <c r="I10" s="89"/>
      <c r="J10" s="36" t="s">
        <v>76</v>
      </c>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t="15.75" customHeight="1" x14ac:dyDescent="0.25">
      <c r="A11" s="42"/>
      <c r="B11" s="119">
        <v>0.06</v>
      </c>
      <c r="C11" s="120" t="s">
        <v>88</v>
      </c>
      <c r="D11" s="120"/>
      <c r="E11" s="120"/>
      <c r="F11" s="120"/>
      <c r="G11" s="121"/>
      <c r="H11" s="47"/>
      <c r="I11" s="122"/>
      <c r="J11" s="132">
        <f>B14/(B13-B14)+1</f>
        <v>1.0878461463746296</v>
      </c>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ht="15.75" customHeight="1" x14ac:dyDescent="0.25">
      <c r="A12" s="42"/>
      <c r="B12" s="123">
        <v>0.04</v>
      </c>
      <c r="C12" s="45" t="s">
        <v>90</v>
      </c>
      <c r="D12" s="45"/>
      <c r="E12" s="45"/>
      <c r="F12" s="45"/>
      <c r="G12" s="124"/>
      <c r="H12" s="47"/>
      <c r="I12" s="89"/>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ht="15.75" customHeight="1" x14ac:dyDescent="0.25">
      <c r="A13" s="42"/>
      <c r="B13" s="125">
        <v>559996</v>
      </c>
      <c r="C13" s="45" t="s">
        <v>91</v>
      </c>
      <c r="D13" s="45"/>
      <c r="E13" s="45"/>
      <c r="F13" s="45"/>
      <c r="G13" s="126"/>
      <c r="H13" s="47"/>
      <c r="I13" s="122"/>
      <c r="J13" s="36" t="s">
        <v>83</v>
      </c>
      <c r="K13" s="36" t="s">
        <v>122</v>
      </c>
      <c r="L13" s="36" t="s">
        <v>123</v>
      </c>
      <c r="M13" s="36" t="s">
        <v>124</v>
      </c>
      <c r="N13" s="36" t="s">
        <v>125</v>
      </c>
      <c r="O13" s="36" t="s">
        <v>126</v>
      </c>
      <c r="P13" s="36" t="s">
        <v>127</v>
      </c>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row>
    <row r="14" spans="1:52" ht="15.75" customHeight="1" thickBot="1" x14ac:dyDescent="0.3">
      <c r="A14" s="42"/>
      <c r="B14" s="127">
        <v>45221</v>
      </c>
      <c r="C14" s="128" t="s">
        <v>92</v>
      </c>
      <c r="D14" s="128"/>
      <c r="E14" s="128"/>
      <c r="F14" s="128"/>
      <c r="G14" s="129"/>
      <c r="H14" s="47"/>
      <c r="I14" s="89"/>
      <c r="J14" s="36">
        <v>2015</v>
      </c>
      <c r="K14" s="36">
        <f>(B12+1)^4</f>
        <v>1.1698585600000002</v>
      </c>
      <c r="L14" s="141">
        <f>E7-F7</f>
        <v>55518</v>
      </c>
      <c r="M14" s="36">
        <f>C7*D7</f>
        <v>92927.52</v>
      </c>
      <c r="N14" s="132">
        <f>$J$11</f>
        <v>1.0878461463746296</v>
      </c>
      <c r="O14" s="132">
        <f>K14*L14*N14</f>
        <v>70653.657279888634</v>
      </c>
      <c r="P14" s="90">
        <f>O14/M14</f>
        <v>0.76030929567353811</v>
      </c>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row>
    <row r="15" spans="1:52" ht="15.75" customHeight="1" x14ac:dyDescent="0.25">
      <c r="A15" s="42"/>
      <c r="B15" s="49"/>
      <c r="C15" s="45"/>
      <c r="D15" s="45"/>
      <c r="E15" s="45"/>
      <c r="F15" s="45"/>
      <c r="G15" s="46"/>
      <c r="H15" s="47"/>
      <c r="I15" s="89"/>
      <c r="J15" s="36">
        <v>2016</v>
      </c>
      <c r="K15" s="36">
        <f>(1+B12)^3</f>
        <v>1.1248640000000001</v>
      </c>
      <c r="L15" s="141">
        <f t="shared" ref="L15:L16" si="0">E8-F8</f>
        <v>54051</v>
      </c>
      <c r="M15" s="36">
        <f t="shared" ref="M15:M16" si="1">C8*D8</f>
        <v>98202.3</v>
      </c>
      <c r="N15" s="132">
        <f t="shared" ref="N15:N16" si="2">$J$11</f>
        <v>1.0878461463746296</v>
      </c>
      <c r="O15" s="132">
        <f t="shared" ref="O15:O16" si="3">K15*L15*N15</f>
        <v>66141.071877507158</v>
      </c>
      <c r="P15" s="90">
        <f t="shared" ref="P15:P16" si="4">O15/M15</f>
        <v>0.67351856196348925</v>
      </c>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row>
    <row r="16" spans="1:52" ht="15.75" customHeight="1" x14ac:dyDescent="0.25">
      <c r="A16" s="42"/>
      <c r="B16" s="130" t="s">
        <v>94</v>
      </c>
      <c r="C16" s="130"/>
      <c r="D16" s="130"/>
      <c r="E16" s="130"/>
      <c r="F16" s="130"/>
      <c r="G16" s="130"/>
      <c r="H16" s="131"/>
      <c r="I16" s="89"/>
      <c r="J16" s="36">
        <v>2017</v>
      </c>
      <c r="K16" s="36">
        <f>(1+B12)^2</f>
        <v>1.0816000000000001</v>
      </c>
      <c r="L16" s="141">
        <f t="shared" si="0"/>
        <v>57019.999999999993</v>
      </c>
      <c r="M16" s="36">
        <f t="shared" si="1"/>
        <v>95038.98</v>
      </c>
      <c r="N16" s="132">
        <f t="shared" si="2"/>
        <v>1.0878461463746296</v>
      </c>
      <c r="O16" s="132">
        <f t="shared" si="3"/>
        <v>67090.552627209938</v>
      </c>
      <c r="P16" s="90">
        <f t="shared" si="4"/>
        <v>0.70592669057696056</v>
      </c>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row>
    <row r="17" spans="1:52" ht="15.75" customHeight="1" x14ac:dyDescent="0.25">
      <c r="A17" s="42"/>
      <c r="B17" s="130" t="s">
        <v>96</v>
      </c>
      <c r="C17" s="130"/>
      <c r="D17" s="130"/>
      <c r="E17" s="130"/>
      <c r="F17" s="130"/>
      <c r="G17" s="130"/>
      <c r="H17" s="131"/>
      <c r="I17" s="89"/>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ht="15.75" customHeight="1" x14ac:dyDescent="0.25">
      <c r="A18" s="42"/>
      <c r="B18" s="130" t="s">
        <v>97</v>
      </c>
      <c r="C18" s="130"/>
      <c r="D18" s="130"/>
      <c r="E18" s="130"/>
      <c r="F18" s="130"/>
      <c r="G18" s="130"/>
      <c r="H18" s="131"/>
      <c r="I18" s="89"/>
      <c r="J18" s="36" t="s">
        <v>128</v>
      </c>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2" ht="15.75" customHeight="1" x14ac:dyDescent="0.25">
      <c r="A19" s="42"/>
      <c r="B19" s="88"/>
      <c r="C19" s="39"/>
      <c r="D19" s="39"/>
      <c r="E19" s="39"/>
      <c r="F19" s="39"/>
      <c r="G19" s="46"/>
      <c r="H19" s="40"/>
      <c r="I19" s="82"/>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2" ht="15.75" customHeight="1" x14ac:dyDescent="0.25">
      <c r="A20" s="42">
        <v>2</v>
      </c>
      <c r="B20" s="39" t="s">
        <v>46</v>
      </c>
      <c r="C20" s="39"/>
      <c r="D20" s="39"/>
      <c r="E20" s="39"/>
      <c r="F20" s="39"/>
      <c r="G20" s="46"/>
      <c r="H20" s="40"/>
      <c r="I20" s="82"/>
      <c r="J20" s="36"/>
      <c r="K20" s="36" t="s">
        <v>129</v>
      </c>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row>
    <row r="21" spans="1:52" ht="15.75" customHeight="1" x14ac:dyDescent="0.25">
      <c r="A21" s="42"/>
      <c r="B21" s="133" t="s">
        <v>98</v>
      </c>
      <c r="C21" s="133"/>
      <c r="D21" s="133"/>
      <c r="E21" s="133"/>
      <c r="F21" s="133"/>
      <c r="G21" s="133"/>
      <c r="H21" s="134"/>
      <c r="I21" s="82"/>
      <c r="J21" s="36"/>
      <c r="K21" s="150">
        <f>AVERAGE(P14:P16)</f>
        <v>0.71325151607132931</v>
      </c>
      <c r="L21" s="36"/>
      <c r="M21" s="36" t="s">
        <v>130</v>
      </c>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2" ht="15.75" customHeight="1" x14ac:dyDescent="0.25">
      <c r="A22" s="42"/>
      <c r="B22" s="135" t="s">
        <v>99</v>
      </c>
      <c r="C22" s="135"/>
      <c r="D22" s="136"/>
      <c r="E22" s="136"/>
      <c r="F22" s="136"/>
      <c r="G22" s="136"/>
      <c r="H22" s="137"/>
      <c r="I22" s="82"/>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2" ht="15.75" customHeight="1" x14ac:dyDescent="0.25">
      <c r="A23" s="42"/>
      <c r="B23" s="133"/>
      <c r="C23" s="133"/>
      <c r="D23" s="133"/>
      <c r="E23" s="133"/>
      <c r="F23" s="133"/>
      <c r="G23" s="133"/>
      <c r="H23" s="134"/>
      <c r="I23" s="82"/>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ht="15.75" customHeight="1" x14ac:dyDescent="0.25">
      <c r="A24" s="42">
        <v>0.25</v>
      </c>
      <c r="B24" s="133" t="s">
        <v>21</v>
      </c>
      <c r="C24" s="133"/>
      <c r="D24" s="133"/>
      <c r="E24" s="133"/>
      <c r="F24" s="133"/>
      <c r="G24" s="133"/>
      <c r="H24" s="134"/>
      <c r="I24" s="82"/>
      <c r="J24" s="36" t="s">
        <v>131</v>
      </c>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row>
    <row r="25" spans="1:52" ht="15.75" customHeight="1" x14ac:dyDescent="0.25">
      <c r="A25" s="42"/>
      <c r="B25" s="133" t="s">
        <v>100</v>
      </c>
      <c r="C25" s="133"/>
      <c r="D25" s="133"/>
      <c r="E25" s="133"/>
      <c r="F25" s="133"/>
      <c r="G25" s="133"/>
      <c r="H25" s="134"/>
      <c r="I25" s="82"/>
      <c r="J25" s="36" t="s">
        <v>132</v>
      </c>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row>
    <row r="26" spans="1:52" ht="15.75" customHeight="1" thickBot="1" x14ac:dyDescent="0.3">
      <c r="A26" s="75"/>
      <c r="B26" s="76"/>
      <c r="C26" s="76"/>
      <c r="D26" s="76"/>
      <c r="E26" s="76"/>
      <c r="F26" s="76"/>
      <c r="G26" s="76"/>
      <c r="H26" s="77"/>
      <c r="I26" s="82"/>
      <c r="J26" s="36" t="s">
        <v>133</v>
      </c>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row>
    <row r="27" spans="1:52" ht="15.75" customHeight="1" x14ac:dyDescent="0.25">
      <c r="A27" s="82"/>
      <c r="B27" s="82"/>
      <c r="C27" s="82"/>
      <c r="D27" s="82"/>
      <c r="E27" s="82"/>
      <c r="F27" s="82"/>
      <c r="G27" s="82"/>
      <c r="H27" s="82"/>
      <c r="I27" s="82"/>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2" ht="15.75" customHeight="1" x14ac:dyDescent="0.25">
      <c r="A28" s="82"/>
      <c r="B28" s="82"/>
      <c r="C28" s="82"/>
      <c r="D28" s="82"/>
      <c r="E28" s="82"/>
      <c r="F28" s="82"/>
      <c r="G28" s="82"/>
      <c r="H28" s="82"/>
      <c r="I28" s="82"/>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ht="15.75" customHeight="1" x14ac:dyDescent="0.25">
      <c r="A29" s="82"/>
      <c r="B29" s="82"/>
      <c r="C29" s="82"/>
      <c r="D29" s="82"/>
      <c r="E29" s="82"/>
      <c r="F29" s="82"/>
      <c r="G29" s="82"/>
      <c r="H29" s="82"/>
      <c r="I29" s="82"/>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row>
    <row r="30" spans="1:52" ht="15.75" customHeight="1" x14ac:dyDescent="0.25">
      <c r="A30" s="82"/>
      <c r="B30" s="82"/>
      <c r="C30" s="82"/>
      <c r="D30" s="82"/>
      <c r="E30" s="82"/>
      <c r="F30" s="82"/>
      <c r="G30" s="82"/>
      <c r="H30" s="82"/>
      <c r="I30" s="82"/>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row>
    <row r="31" spans="1:52" ht="15.75" customHeight="1" x14ac:dyDescent="0.25">
      <c r="A31" s="82"/>
      <c r="B31" s="82"/>
      <c r="C31" s="82"/>
      <c r="D31" s="82"/>
      <c r="E31" s="82"/>
      <c r="F31" s="82"/>
      <c r="G31" s="82"/>
      <c r="H31" s="82"/>
      <c r="I31" s="82"/>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ht="15.75" customHeight="1" x14ac:dyDescent="0.25">
      <c r="A32" s="82"/>
      <c r="B32" s="82"/>
      <c r="C32" s="82"/>
      <c r="D32" s="82"/>
      <c r="E32" s="82"/>
      <c r="F32" s="82"/>
      <c r="G32" s="82"/>
      <c r="H32" s="82"/>
      <c r="I32" s="82"/>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row>
    <row r="33" spans="1:52" ht="15.75" customHeight="1" x14ac:dyDescent="0.25">
      <c r="A33" s="82"/>
      <c r="B33" s="82"/>
      <c r="C33" s="82"/>
      <c r="D33" s="82"/>
      <c r="E33" s="82"/>
      <c r="F33" s="82"/>
      <c r="G33" s="82"/>
      <c r="H33" s="82"/>
      <c r="I33" s="82"/>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t="15.75" customHeight="1" x14ac:dyDescent="0.25">
      <c r="A34" s="82"/>
      <c r="B34" s="82"/>
      <c r="C34" s="82"/>
      <c r="D34" s="82"/>
      <c r="E34" s="82"/>
      <c r="F34" s="82"/>
      <c r="G34" s="82"/>
      <c r="H34" s="82"/>
      <c r="I34" s="82"/>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t="15.75" customHeight="1" x14ac:dyDescent="0.25">
      <c r="A35" s="82"/>
      <c r="B35" s="82"/>
      <c r="C35" s="82"/>
      <c r="D35" s="82"/>
      <c r="E35" s="82"/>
      <c r="F35" s="82"/>
      <c r="G35" s="82"/>
      <c r="H35" s="82"/>
      <c r="I35" s="82"/>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ht="15.75" customHeight="1" x14ac:dyDescent="0.25">
      <c r="A36" s="82"/>
      <c r="B36" s="82"/>
      <c r="C36" s="82"/>
      <c r="D36" s="82"/>
      <c r="E36" s="82"/>
      <c r="F36" s="82"/>
      <c r="G36" s="82"/>
      <c r="H36" s="82"/>
      <c r="I36" s="82"/>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ht="15.75" customHeight="1" x14ac:dyDescent="0.25">
      <c r="A37" s="82"/>
      <c r="B37" s="82"/>
      <c r="C37" s="82"/>
      <c r="D37" s="82"/>
      <c r="E37" s="82"/>
      <c r="F37" s="82"/>
      <c r="G37" s="82"/>
      <c r="H37" s="82"/>
      <c r="I37" s="82"/>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ht="15.75" customHeight="1" x14ac:dyDescent="0.25">
      <c r="A38" s="82"/>
      <c r="B38" s="82"/>
      <c r="C38" s="82"/>
      <c r="D38" s="82"/>
      <c r="E38" s="82"/>
      <c r="F38" s="82"/>
      <c r="G38" s="82"/>
      <c r="H38" s="82"/>
      <c r="I38" s="82"/>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row>
    <row r="39" spans="1:52" ht="15.75" customHeight="1" x14ac:dyDescent="0.25">
      <c r="A39" s="82"/>
      <c r="B39" s="82"/>
      <c r="C39" s="82"/>
      <c r="D39" s="82"/>
      <c r="E39" s="82"/>
      <c r="F39" s="82"/>
      <c r="G39" s="82"/>
      <c r="H39" s="82"/>
      <c r="I39" s="82"/>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ht="15.75" customHeight="1" x14ac:dyDescent="0.25">
      <c r="A40" s="82"/>
      <c r="B40" s="82"/>
      <c r="C40" s="82"/>
      <c r="D40" s="82"/>
      <c r="E40" s="82"/>
      <c r="F40" s="82"/>
      <c r="G40" s="82"/>
      <c r="H40" s="82"/>
      <c r="I40" s="82"/>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row>
    <row r="41" spans="1:52" ht="15.75" customHeight="1" x14ac:dyDescent="0.25">
      <c r="A41" s="82"/>
      <c r="B41" s="82"/>
      <c r="C41" s="82"/>
      <c r="D41" s="82"/>
      <c r="E41" s="82"/>
      <c r="F41" s="82"/>
      <c r="G41" s="82"/>
      <c r="H41" s="82"/>
      <c r="I41" s="82"/>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ht="15.75" customHeight="1" x14ac:dyDescent="0.25">
      <c r="A42" s="82"/>
      <c r="B42" s="82"/>
      <c r="C42" s="82"/>
      <c r="D42" s="82"/>
      <c r="E42" s="82"/>
      <c r="F42" s="82"/>
      <c r="G42" s="82"/>
      <c r="H42" s="82"/>
      <c r="I42" s="82"/>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row>
    <row r="43" spans="1:52" ht="15.75" customHeight="1" x14ac:dyDescent="0.25">
      <c r="A43" s="82"/>
      <c r="B43" s="82"/>
      <c r="C43" s="82"/>
      <c r="D43" s="82"/>
      <c r="E43" s="82"/>
      <c r="F43" s="82"/>
      <c r="G43" s="82"/>
      <c r="H43" s="82"/>
      <c r="I43" s="82"/>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t="15.75" customHeight="1" x14ac:dyDescent="0.25">
      <c r="A44" s="82"/>
      <c r="B44" s="82"/>
      <c r="C44" s="82"/>
      <c r="D44" s="82"/>
      <c r="E44" s="82"/>
      <c r="F44" s="82"/>
      <c r="G44" s="82"/>
      <c r="H44" s="82"/>
      <c r="I44" s="82"/>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ht="15.75" customHeight="1" x14ac:dyDescent="0.25">
      <c r="A45" s="82"/>
      <c r="B45" s="82"/>
      <c r="C45" s="82"/>
      <c r="D45" s="82"/>
      <c r="E45" s="82"/>
      <c r="F45" s="82"/>
      <c r="G45" s="82"/>
      <c r="H45" s="82"/>
      <c r="I45" s="82"/>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ht="15.75" customHeight="1" x14ac:dyDescent="0.25">
      <c r="A46" s="82"/>
      <c r="B46" s="82"/>
      <c r="C46" s="82"/>
      <c r="D46" s="82"/>
      <c r="E46" s="82"/>
      <c r="F46" s="82"/>
      <c r="G46" s="82"/>
      <c r="H46" s="82"/>
      <c r="I46" s="82"/>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2" ht="15.75" customHeight="1" x14ac:dyDescent="0.25">
      <c r="A47" s="82"/>
      <c r="B47" s="82"/>
      <c r="C47" s="82"/>
      <c r="D47" s="82"/>
      <c r="E47" s="82"/>
      <c r="F47" s="82"/>
      <c r="G47" s="82"/>
      <c r="H47" s="82"/>
      <c r="I47" s="82"/>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ht="15.75" customHeight="1" x14ac:dyDescent="0.25">
      <c r="A48" s="82"/>
      <c r="B48" s="82"/>
      <c r="C48" s="82"/>
      <c r="D48" s="82"/>
      <c r="E48" s="82"/>
      <c r="F48" s="82"/>
      <c r="G48" s="82"/>
      <c r="H48" s="82"/>
      <c r="I48" s="82"/>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row>
    <row r="49" spans="1:52" ht="15.75" customHeight="1" x14ac:dyDescent="0.25">
      <c r="A49" s="82"/>
      <c r="B49" s="82"/>
      <c r="C49" s="82"/>
      <c r="D49" s="82"/>
      <c r="E49" s="82"/>
      <c r="F49" s="82"/>
      <c r="G49" s="82"/>
      <c r="H49" s="82"/>
      <c r="I49" s="82"/>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row>
    <row r="50" spans="1:52" ht="15.75" customHeight="1" x14ac:dyDescent="0.25">
      <c r="A50" s="82"/>
      <c r="B50" s="82"/>
      <c r="C50" s="82"/>
      <c r="D50" s="82"/>
      <c r="E50" s="82"/>
      <c r="F50" s="82"/>
      <c r="G50" s="82"/>
      <c r="H50" s="82"/>
      <c r="I50" s="82"/>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1:52" ht="15.75" customHeight="1" x14ac:dyDescent="0.25">
      <c r="A51" s="82"/>
      <c r="B51" s="82"/>
      <c r="C51" s="82"/>
      <c r="D51" s="82"/>
      <c r="E51" s="82"/>
      <c r="F51" s="82"/>
      <c r="G51" s="82"/>
      <c r="H51" s="82"/>
      <c r="I51" s="82"/>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row>
    <row r="52" spans="1:52" ht="15.75" customHeight="1" x14ac:dyDescent="0.25">
      <c r="A52" s="82"/>
      <c r="B52" s="82"/>
      <c r="C52" s="82"/>
      <c r="D52" s="82"/>
      <c r="E52" s="82"/>
      <c r="F52" s="82"/>
      <c r="G52" s="82"/>
      <c r="H52" s="82"/>
      <c r="I52" s="82"/>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row>
    <row r="53" spans="1:52" ht="15.75" customHeight="1" x14ac:dyDescent="0.25">
      <c r="A53" s="82"/>
      <c r="B53" s="82"/>
      <c r="C53" s="82"/>
      <c r="D53" s="82"/>
      <c r="E53" s="82"/>
      <c r="F53" s="82"/>
      <c r="G53" s="82"/>
      <c r="H53" s="82"/>
      <c r="I53" s="82"/>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row>
    <row r="54" spans="1:52" ht="15.75" customHeight="1" x14ac:dyDescent="0.25">
      <c r="A54" s="82"/>
      <c r="B54" s="82"/>
      <c r="C54" s="82"/>
      <c r="D54" s="82"/>
      <c r="E54" s="82"/>
      <c r="F54" s="82"/>
      <c r="G54" s="82"/>
      <c r="H54" s="82"/>
      <c r="I54" s="82"/>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row>
    <row r="55" spans="1:52" ht="15.75" customHeight="1" x14ac:dyDescent="0.25">
      <c r="A55" s="82"/>
      <c r="B55" s="82"/>
      <c r="C55" s="82"/>
      <c r="D55" s="82"/>
      <c r="E55" s="82"/>
      <c r="F55" s="82"/>
      <c r="G55" s="82"/>
      <c r="H55" s="82"/>
      <c r="I55" s="82"/>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row>
    <row r="56" spans="1:52" ht="15.75" customHeight="1" x14ac:dyDescent="0.25">
      <c r="A56" s="82"/>
      <c r="B56" s="82"/>
      <c r="C56" s="82"/>
      <c r="D56" s="82"/>
      <c r="E56" s="82"/>
      <c r="F56" s="82"/>
      <c r="G56" s="82"/>
      <c r="H56" s="82"/>
      <c r="I56" s="82"/>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row>
    <row r="57" spans="1:52" ht="15.75" customHeight="1" x14ac:dyDescent="0.25">
      <c r="A57" s="82"/>
      <c r="B57" s="82"/>
      <c r="C57" s="82"/>
      <c r="D57" s="82"/>
      <c r="E57" s="82"/>
      <c r="F57" s="82"/>
      <c r="G57" s="82"/>
      <c r="H57" s="82"/>
      <c r="I57" s="82"/>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row>
    <row r="58" spans="1:52" ht="15.75" customHeight="1" x14ac:dyDescent="0.25">
      <c r="A58" s="82"/>
      <c r="B58" s="82"/>
      <c r="C58" s="82"/>
      <c r="D58" s="82"/>
      <c r="E58" s="82"/>
      <c r="F58" s="82"/>
      <c r="G58" s="82"/>
      <c r="H58" s="82"/>
      <c r="I58" s="82"/>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2" ht="15.75" customHeight="1" x14ac:dyDescent="0.25">
      <c r="A59" s="82"/>
      <c r="B59" s="82"/>
      <c r="C59" s="82"/>
      <c r="D59" s="82"/>
      <c r="E59" s="82"/>
      <c r="F59" s="82"/>
      <c r="G59" s="82"/>
      <c r="H59" s="82"/>
      <c r="I59" s="82"/>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2" ht="15.75" customHeight="1" x14ac:dyDescent="0.25">
      <c r="A60" s="82"/>
      <c r="B60" s="82"/>
      <c r="C60" s="82"/>
      <c r="D60" s="82"/>
      <c r="E60" s="82"/>
      <c r="F60" s="82"/>
      <c r="G60" s="82"/>
      <c r="H60" s="82"/>
      <c r="I60" s="82"/>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2" ht="15.75" customHeight="1" x14ac:dyDescent="0.25">
      <c r="A61" s="82"/>
      <c r="B61" s="82"/>
      <c r="C61" s="82"/>
      <c r="D61" s="82"/>
      <c r="E61" s="82"/>
      <c r="F61" s="82"/>
      <c r="G61" s="82"/>
      <c r="H61" s="82"/>
      <c r="I61" s="82"/>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1:52" ht="15.75" customHeight="1" x14ac:dyDescent="0.2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row>
    <row r="63" spans="1:52" ht="15.75" customHeight="1" x14ac:dyDescent="0.2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row>
    <row r="64" spans="1:52" ht="15.75" customHeight="1"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row>
    <row r="65" spans="1:52" ht="15.75" customHeight="1" x14ac:dyDescent="0.2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row>
    <row r="66" spans="1:52" ht="15.75" customHeight="1" x14ac:dyDescent="0.2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row>
    <row r="67" spans="1:52" ht="15.75" customHeight="1" x14ac:dyDescent="0.2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row>
    <row r="68" spans="1:52" ht="15.75" customHeight="1" x14ac:dyDescent="0.2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1:52" ht="15.75" customHeight="1" x14ac:dyDescent="0.2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row>
    <row r="70" spans="1:52" ht="15.75" customHeight="1" x14ac:dyDescent="0.2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1:52" ht="15.75" customHeight="1" x14ac:dyDescent="0.2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row>
    <row r="72" spans="1:52" ht="15.75" customHeight="1"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row>
    <row r="73" spans="1:52" ht="15.75" customHeight="1" x14ac:dyDescent="0.2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row>
    <row r="74" spans="1:52" ht="15.75" customHeight="1"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row>
    <row r="75" spans="1:52" ht="15.75" customHeight="1"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row>
    <row r="76" spans="1:52" ht="15.75" customHeight="1" x14ac:dyDescent="0.2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row>
    <row r="77" spans="1:52" ht="15.75"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row>
    <row r="78" spans="1:52" ht="15.75" customHeight="1" x14ac:dyDescent="0.2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row>
    <row r="79" spans="1:52" ht="15.75" customHeight="1" x14ac:dyDescent="0.2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row>
    <row r="80" spans="1:52" ht="15.75" customHeight="1"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row>
    <row r="81" spans="1:52" ht="15.75" customHeight="1" x14ac:dyDescent="0.2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row>
    <row r="82" spans="1:52" ht="15.75"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row>
    <row r="83" spans="1:52" ht="15.75"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row>
    <row r="84" spans="1:52" ht="15.75" customHeight="1"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row>
    <row r="85" spans="1:52" ht="15.75" customHeight="1"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row>
    <row r="86" spans="1:52" ht="15.75" customHeight="1"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row>
    <row r="87" spans="1:52" ht="15.75" customHeight="1"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row>
    <row r="88" spans="1:52" ht="15.75" customHeight="1"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row>
    <row r="89" spans="1:52" ht="15.75" customHeight="1"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row>
    <row r="90" spans="1:52" ht="15.75" customHeight="1"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row>
    <row r="91" spans="1:52" ht="15.75"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row>
    <row r="92" spans="1:52" ht="15.75"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1:52" ht="15.75"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row>
    <row r="94" spans="1:52" ht="15.75"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row>
    <row r="95" spans="1:52" ht="15.75"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row>
    <row r="96" spans="1:52" ht="15.75"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row>
    <row r="97" spans="1:52" ht="15.75"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row>
    <row r="98" spans="1:52" ht="15.75"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1:52" ht="15.75"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row>
    <row r="100" spans="1:52" ht="15.75"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row>
    <row r="101" spans="1:52" ht="15.75"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row>
    <row r="102" spans="1:52" ht="15.75"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row>
    <row r="103" spans="1:52" ht="15.75"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row>
    <row r="104" spans="1:52" ht="15.75"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1:52" ht="15.75"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row>
    <row r="106" spans="1:52" ht="15.75"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1:52" ht="15.75"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row>
    <row r="108" spans="1:52" ht="15.75"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row>
    <row r="109" spans="1:52" ht="15.75"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row>
    <row r="110" spans="1:52" ht="15.75"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row>
    <row r="111" spans="1:52" ht="15.75"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row>
    <row r="112" spans="1:52" ht="15.75"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1:52" ht="15.75"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1:52" ht="15.75"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row>
    <row r="115" spans="1:52" ht="15.75"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row>
    <row r="116" spans="1:52" ht="15.75"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row>
    <row r="117" spans="1:52" ht="15.75"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row>
    <row r="118" spans="1:52" ht="15.75"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row>
    <row r="119" spans="1:52" ht="15.75"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row>
    <row r="120" spans="1:52" ht="15.75"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1:52" ht="15.75"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row>
    <row r="122" spans="1:52" ht="15.75"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1:52" ht="15.75"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row>
    <row r="124" spans="1:52" ht="15.75"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row>
    <row r="125" spans="1:52" ht="15.75"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row>
    <row r="126" spans="1:52" ht="15.75"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1:52" ht="15.75"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row>
    <row r="128" spans="1:52" ht="15.75"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1:52" ht="15.75"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row>
    <row r="130" spans="1:52" ht="15.75"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row>
    <row r="131" spans="1:52" ht="15.75"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row>
    <row r="132" spans="1:52" ht="15.75"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row>
    <row r="133" spans="1:52" ht="15.75"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row>
    <row r="134" spans="1:52" ht="15.75"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1:52" ht="15.75"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row>
    <row r="136" spans="1:52" ht="15.75"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row>
    <row r="137" spans="1:52" ht="15.75"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row>
    <row r="138" spans="1:52" ht="15.75"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row>
    <row r="139" spans="1:52" ht="15.75"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row>
    <row r="140" spans="1:52" ht="15.75"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row>
    <row r="141" spans="1:52" ht="15.75"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row>
    <row r="142" spans="1:52" ht="15.75"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row>
    <row r="143" spans="1:52" ht="15.75"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row>
    <row r="144" spans="1:52" ht="15.75" customHeight="1"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row>
    <row r="145" spans="1:52" ht="15.75" customHeight="1"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row>
    <row r="146" spans="1:52" ht="15.75" customHeight="1"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row>
    <row r="147" spans="1:52" ht="15.75" customHeight="1"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row>
    <row r="148" spans="1:52" ht="15.75" customHeight="1"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row>
    <row r="149" spans="1:52" ht="15.75" customHeight="1"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row>
    <row r="150" spans="1:52" ht="15.75" customHeight="1"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row>
    <row r="151" spans="1:52" ht="15.75" customHeight="1"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row>
    <row r="152" spans="1:52" ht="15.75" customHeight="1"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row>
    <row r="153" spans="1:52" ht="15.75" customHeight="1"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row>
    <row r="154" spans="1:52" ht="15.75" customHeight="1"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row>
    <row r="155" spans="1:52" ht="15.75" customHeight="1"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row>
    <row r="156" spans="1:52" ht="15.75" customHeight="1"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row>
    <row r="157" spans="1:52" ht="15.75" customHeight="1"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row>
    <row r="158" spans="1:52" ht="15.75" customHeight="1"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row>
    <row r="159" spans="1:52" ht="15.75" customHeight="1"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row>
    <row r="160" spans="1:52" ht="15.75" customHeight="1"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row>
    <row r="161" spans="1:52" ht="15.75" customHeight="1"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row>
    <row r="162" spans="1:52" ht="15.75" customHeight="1"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1:52" ht="15.75" customHeight="1"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row>
    <row r="164" spans="1:52" ht="15.75" customHeight="1"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row>
    <row r="165" spans="1:52" ht="15.75" customHeight="1"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row>
    <row r="166" spans="1:52" ht="15.75" customHeight="1"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row>
    <row r="167" spans="1:52" ht="15.75" customHeight="1"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row>
    <row r="168" spans="1:52" ht="15.75" customHeight="1"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1:52" ht="15.75" customHeight="1"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row>
    <row r="170" spans="1:52" ht="15.75" customHeight="1"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row>
    <row r="171" spans="1:52" ht="15.75" customHeight="1"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1:52" ht="15.75" customHeight="1"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1:52" ht="15.75" customHeight="1"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row>
    <row r="174" spans="1:52" ht="15.75" customHeight="1"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row>
    <row r="175" spans="1:52" ht="15.75" customHeight="1"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row>
    <row r="176" spans="1:52" ht="15.75" customHeight="1"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row>
    <row r="177" spans="1:52" ht="15.75" customHeight="1"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row>
    <row r="178" spans="1:52" ht="15.75" customHeight="1"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1:52" ht="15.75" customHeight="1"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1:52" ht="15.75" customHeight="1"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row>
    <row r="181" spans="1:52" ht="15.75" customHeight="1"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row>
    <row r="182" spans="1:52" ht="15.75" customHeight="1"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row>
    <row r="183" spans="1:52" ht="15.75" customHeight="1"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row>
    <row r="184" spans="1:52" ht="15.75" customHeight="1"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row>
    <row r="185" spans="1:52" ht="15.75" customHeight="1"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1:52" ht="15.75" customHeight="1"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row>
    <row r="187" spans="1:52" ht="15.75" customHeight="1"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row>
    <row r="188" spans="1:52" ht="15.75" customHeight="1"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row>
    <row r="189" spans="1:52" ht="15.75" customHeight="1"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row>
    <row r="190" spans="1:52" ht="15.75" customHeight="1"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row>
    <row r="191" spans="1:52" ht="15.75" customHeight="1"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row>
    <row r="192" spans="1:52" ht="15.75" customHeight="1"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row>
    <row r="193" spans="1:52" ht="15.75" customHeight="1"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row>
    <row r="194" spans="1:52" ht="15.75" customHeight="1"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row>
    <row r="195" spans="1:52" ht="15.75" customHeight="1"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row>
    <row r="196" spans="1:52" ht="0" hidden="1" customHeight="1" x14ac:dyDescent="0.2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row>
    <row r="197" spans="1:52" ht="0" hidden="1" customHeight="1" x14ac:dyDescent="0.2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row>
    <row r="198" spans="1:52" ht="0" hidden="1" customHeight="1"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row>
    <row r="199" spans="1:52" ht="0" hidden="1" customHeight="1" x14ac:dyDescent="0.2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row>
    <row r="200" spans="1:52" ht="0" hidden="1" customHeight="1"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row>
  </sheetData>
  <sheetProtection formatCells="0" formatColumns="0" formatRows="0" autoFilter="0"/>
  <pageMargins left="0.75" right="0.75" top="1" bottom="1" header="0.5" footer="0.5"/>
  <pageSetup scale="74" firstPageNumber="0" orientation="portrait"/>
  <headerFooter alignWithMargins="0">
    <oddHeader>&amp;CSpring 2018 Exam 5 Make-Up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146"/>
  <sheetViews>
    <sheetView workbookViewId="0"/>
  </sheetViews>
  <sheetFormatPr defaultColWidth="9" defaultRowHeight="15" x14ac:dyDescent="0.25"/>
  <cols>
    <col min="1" max="1" width="9" style="151"/>
    <col min="2" max="2" width="13.375" style="151" customWidth="1"/>
    <col min="3" max="3" width="9" style="151"/>
    <col min="4" max="4" width="12.375" style="151" customWidth="1"/>
    <col min="5" max="5" width="16.75" style="151" customWidth="1"/>
    <col min="6" max="8" width="9" style="151"/>
    <col min="9" max="9" width="36.125" style="151" customWidth="1"/>
    <col min="10" max="16384" width="9" style="151"/>
  </cols>
  <sheetData>
    <row r="1" spans="1:12" ht="15.75" thickBot="1" x14ac:dyDescent="0.3">
      <c r="A1" s="1">
        <v>4</v>
      </c>
      <c r="B1" s="2"/>
      <c r="C1" s="152"/>
      <c r="D1" s="153"/>
      <c r="E1" s="153"/>
      <c r="F1" s="153"/>
      <c r="G1" s="153"/>
      <c r="H1" s="153"/>
      <c r="I1" s="154"/>
      <c r="J1" s="36"/>
      <c r="K1" s="36"/>
      <c r="L1" s="36"/>
    </row>
    <row r="2" spans="1:12" x14ac:dyDescent="0.25">
      <c r="A2" s="155" t="s">
        <v>0</v>
      </c>
      <c r="B2" s="156"/>
      <c r="C2" s="156"/>
      <c r="D2" s="156"/>
      <c r="E2" s="156"/>
      <c r="F2" s="156"/>
      <c r="G2" s="156"/>
      <c r="H2" s="156"/>
      <c r="I2" s="157"/>
      <c r="J2" s="36"/>
      <c r="K2" s="36"/>
      <c r="L2" s="36"/>
    </row>
    <row r="3" spans="1:12" x14ac:dyDescent="0.25">
      <c r="A3" s="158">
        <v>2.75</v>
      </c>
      <c r="B3" s="159"/>
      <c r="C3" s="156"/>
      <c r="D3" s="156"/>
      <c r="E3" s="156"/>
      <c r="F3" s="156"/>
      <c r="G3" s="156"/>
      <c r="H3" s="156"/>
      <c r="I3" s="157"/>
      <c r="J3" s="36"/>
      <c r="K3" s="36"/>
      <c r="L3" s="36"/>
    </row>
    <row r="4" spans="1:12" x14ac:dyDescent="0.25">
      <c r="A4" s="158"/>
      <c r="B4" s="156" t="s">
        <v>134</v>
      </c>
      <c r="C4" s="156"/>
      <c r="D4" s="156"/>
      <c r="E4" s="156"/>
      <c r="F4" s="156"/>
      <c r="G4" s="156"/>
      <c r="H4" s="156"/>
      <c r="I4" s="157"/>
      <c r="J4" s="36"/>
      <c r="K4" s="36"/>
      <c r="L4" s="36"/>
    </row>
    <row r="5" spans="1:12" ht="15.75" thickBot="1" x14ac:dyDescent="0.3">
      <c r="A5" s="158"/>
      <c r="B5" s="156"/>
      <c r="C5" s="156"/>
      <c r="D5" s="156"/>
      <c r="E5" s="156"/>
      <c r="F5" s="156"/>
      <c r="G5" s="156"/>
      <c r="H5" s="156"/>
      <c r="I5" s="157"/>
      <c r="J5" s="36"/>
      <c r="K5" s="36"/>
      <c r="L5" s="36"/>
    </row>
    <row r="6" spans="1:12" x14ac:dyDescent="0.25">
      <c r="A6" s="158"/>
      <c r="B6" s="160" t="s">
        <v>135</v>
      </c>
      <c r="C6" s="161" t="s">
        <v>136</v>
      </c>
      <c r="D6" s="1186" t="s">
        <v>137</v>
      </c>
      <c r="E6" s="1186"/>
      <c r="F6" s="1186"/>
      <c r="G6" s="1187"/>
      <c r="H6" s="162"/>
      <c r="I6" s="157"/>
      <c r="J6" s="36"/>
      <c r="K6" s="36"/>
      <c r="L6" s="36"/>
    </row>
    <row r="7" spans="1:12" ht="15.75" thickBot="1" x14ac:dyDescent="0.3">
      <c r="A7" s="158"/>
      <c r="B7" s="163" t="s">
        <v>83</v>
      </c>
      <c r="C7" s="164" t="s">
        <v>138</v>
      </c>
      <c r="D7" s="164">
        <v>12</v>
      </c>
      <c r="E7" s="165">
        <v>24</v>
      </c>
      <c r="F7" s="165">
        <v>36</v>
      </c>
      <c r="G7" s="166">
        <v>48</v>
      </c>
      <c r="H7" s="167"/>
      <c r="I7" s="157"/>
      <c r="J7" s="36"/>
      <c r="K7" s="36"/>
      <c r="L7" s="36"/>
    </row>
    <row r="8" spans="1:12" x14ac:dyDescent="0.25">
      <c r="A8" s="158"/>
      <c r="B8" s="160">
        <v>2014</v>
      </c>
      <c r="C8" s="168">
        <v>898</v>
      </c>
      <c r="D8" s="169">
        <v>363572</v>
      </c>
      <c r="E8" s="169">
        <v>490822</v>
      </c>
      <c r="F8" s="169">
        <v>564445</v>
      </c>
      <c r="G8" s="170">
        <v>620890</v>
      </c>
      <c r="H8" s="171"/>
      <c r="I8" s="157"/>
      <c r="J8" s="36"/>
      <c r="K8" s="36"/>
      <c r="L8" s="36"/>
    </row>
    <row r="9" spans="1:12" x14ac:dyDescent="0.25">
      <c r="A9" s="158"/>
      <c r="B9" s="172">
        <v>2015</v>
      </c>
      <c r="C9" s="173">
        <v>938</v>
      </c>
      <c r="D9" s="174">
        <v>387362</v>
      </c>
      <c r="E9" s="174">
        <v>522939</v>
      </c>
      <c r="F9" s="174">
        <v>601380</v>
      </c>
      <c r="G9" s="175"/>
      <c r="H9" s="171"/>
      <c r="I9" s="157"/>
      <c r="J9" s="36"/>
      <c r="K9" s="36"/>
      <c r="L9" s="36"/>
    </row>
    <row r="10" spans="1:12" x14ac:dyDescent="0.25">
      <c r="A10" s="158"/>
      <c r="B10" s="172">
        <v>2016</v>
      </c>
      <c r="C10" s="173">
        <v>980</v>
      </c>
      <c r="D10" s="174">
        <v>412801</v>
      </c>
      <c r="E10" s="174">
        <v>557281</v>
      </c>
      <c r="F10" s="174"/>
      <c r="G10" s="175"/>
      <c r="H10" s="171"/>
      <c r="I10" s="157"/>
      <c r="J10" s="36"/>
      <c r="K10" s="36"/>
      <c r="L10" s="36"/>
    </row>
    <row r="11" spans="1:12" ht="15.75" thickBot="1" x14ac:dyDescent="0.3">
      <c r="A11" s="158"/>
      <c r="B11" s="163">
        <v>2017</v>
      </c>
      <c r="C11" s="176">
        <v>1024</v>
      </c>
      <c r="D11" s="177">
        <v>439961</v>
      </c>
      <c r="E11" s="177"/>
      <c r="F11" s="177"/>
      <c r="G11" s="178"/>
      <c r="H11" s="171"/>
      <c r="I11" s="157"/>
      <c r="J11" s="36"/>
      <c r="K11" s="36"/>
      <c r="L11" s="36"/>
    </row>
    <row r="12" spans="1:12" x14ac:dyDescent="0.25">
      <c r="A12" s="158"/>
      <c r="B12" s="179"/>
      <c r="C12" s="173"/>
      <c r="D12" s="171"/>
      <c r="E12" s="171"/>
      <c r="F12" s="171"/>
      <c r="G12" s="171"/>
      <c r="H12" s="171"/>
      <c r="I12" s="157"/>
      <c r="J12" s="36"/>
      <c r="K12" s="36"/>
      <c r="L12" s="36"/>
    </row>
    <row r="13" spans="1:12" x14ac:dyDescent="0.25">
      <c r="A13" s="180"/>
      <c r="B13" s="181" t="s">
        <v>139</v>
      </c>
      <c r="C13" s="173"/>
      <c r="D13" s="182"/>
      <c r="E13" s="171"/>
      <c r="F13" s="171"/>
      <c r="G13" s="171"/>
      <c r="H13" s="171"/>
      <c r="I13" s="157"/>
      <c r="J13" s="36"/>
      <c r="K13" s="36"/>
      <c r="L13" s="36"/>
    </row>
    <row r="14" spans="1:12" x14ac:dyDescent="0.25">
      <c r="A14" s="180"/>
      <c r="B14" s="181" t="s">
        <v>18</v>
      </c>
      <c r="C14" s="156"/>
      <c r="D14" s="156"/>
      <c r="E14" s="156"/>
      <c r="F14" s="156"/>
      <c r="G14" s="156"/>
      <c r="H14" s="156"/>
      <c r="I14" s="157"/>
      <c r="J14" s="36"/>
      <c r="K14" s="36"/>
      <c r="L14" s="36"/>
    </row>
    <row r="15" spans="1:12" x14ac:dyDescent="0.25">
      <c r="A15" s="180"/>
      <c r="B15" s="181"/>
      <c r="C15" s="156"/>
      <c r="D15" s="156"/>
      <c r="E15" s="156"/>
      <c r="F15" s="156"/>
      <c r="G15" s="156"/>
      <c r="H15" s="156"/>
      <c r="I15" s="157"/>
      <c r="J15" s="36"/>
      <c r="K15" s="36"/>
      <c r="L15" s="36"/>
    </row>
    <row r="16" spans="1:12" x14ac:dyDescent="0.25">
      <c r="A16" s="158">
        <v>1.25</v>
      </c>
      <c r="B16" s="183" t="s">
        <v>19</v>
      </c>
      <c r="C16" s="156"/>
      <c r="D16" s="156"/>
      <c r="E16" s="156"/>
      <c r="F16" s="156"/>
      <c r="G16" s="156"/>
      <c r="H16" s="156"/>
      <c r="I16" s="157"/>
      <c r="J16" s="36"/>
      <c r="K16" s="36"/>
      <c r="L16" s="36"/>
    </row>
    <row r="17" spans="1:12" x14ac:dyDescent="0.25">
      <c r="A17" s="158"/>
      <c r="B17" s="184" t="s">
        <v>140</v>
      </c>
      <c r="C17" s="156"/>
      <c r="D17" s="156"/>
      <c r="E17" s="156"/>
      <c r="F17" s="156"/>
      <c r="G17" s="156"/>
      <c r="H17" s="156"/>
      <c r="I17" s="157"/>
      <c r="J17" s="36"/>
      <c r="K17" s="36"/>
      <c r="L17" s="36"/>
    </row>
    <row r="18" spans="1:12" x14ac:dyDescent="0.25">
      <c r="A18" s="158"/>
      <c r="B18" s="184"/>
      <c r="C18" s="156"/>
      <c r="D18" s="156"/>
      <c r="E18" s="156"/>
      <c r="F18" s="156"/>
      <c r="G18" s="156"/>
      <c r="H18" s="156"/>
      <c r="I18" s="157"/>
      <c r="J18" s="36"/>
      <c r="K18" s="36"/>
      <c r="L18" s="36"/>
    </row>
    <row r="19" spans="1:12" x14ac:dyDescent="0.25">
      <c r="A19" s="158">
        <v>1</v>
      </c>
      <c r="B19" s="183" t="s">
        <v>21</v>
      </c>
      <c r="C19" s="156"/>
      <c r="D19" s="156"/>
      <c r="E19" s="156"/>
      <c r="F19" s="156"/>
      <c r="G19" s="156"/>
      <c r="H19" s="156"/>
      <c r="I19" s="157"/>
      <c r="J19" s="36"/>
      <c r="K19" s="36"/>
      <c r="L19" s="36"/>
    </row>
    <row r="20" spans="1:12" x14ac:dyDescent="0.25">
      <c r="A20" s="158"/>
      <c r="B20" s="184" t="s">
        <v>141</v>
      </c>
      <c r="C20" s="156"/>
      <c r="D20" s="156"/>
      <c r="E20" s="156"/>
      <c r="F20" s="156"/>
      <c r="G20" s="156"/>
      <c r="H20" s="156"/>
      <c r="I20" s="157"/>
      <c r="J20" s="36"/>
      <c r="K20" s="36"/>
      <c r="L20" s="36"/>
    </row>
    <row r="21" spans="1:12" x14ac:dyDescent="0.25">
      <c r="A21" s="158"/>
      <c r="B21" s="184" t="s">
        <v>142</v>
      </c>
      <c r="C21" s="156"/>
      <c r="D21" s="156"/>
      <c r="E21" s="156"/>
      <c r="F21" s="156"/>
      <c r="G21" s="156"/>
      <c r="H21" s="156"/>
      <c r="I21" s="157"/>
      <c r="J21" s="36"/>
      <c r="K21" s="36"/>
      <c r="L21" s="36"/>
    </row>
    <row r="22" spans="1:12" x14ac:dyDescent="0.25">
      <c r="A22" s="158"/>
      <c r="B22" s="184"/>
      <c r="C22" s="156"/>
      <c r="D22" s="156"/>
      <c r="E22" s="156"/>
      <c r="F22" s="156"/>
      <c r="G22" s="156"/>
      <c r="H22" s="156"/>
      <c r="I22" s="157"/>
      <c r="J22" s="36"/>
      <c r="K22" s="36"/>
      <c r="L22" s="36"/>
    </row>
    <row r="23" spans="1:12" x14ac:dyDescent="0.25">
      <c r="A23" s="158">
        <v>0.5</v>
      </c>
      <c r="B23" s="183" t="s">
        <v>52</v>
      </c>
      <c r="C23" s="156"/>
      <c r="D23" s="156"/>
      <c r="E23" s="156"/>
      <c r="F23" s="156"/>
      <c r="G23" s="156"/>
      <c r="H23" s="156"/>
      <c r="I23" s="157"/>
      <c r="J23" s="36"/>
      <c r="K23" s="36"/>
      <c r="L23" s="36"/>
    </row>
    <row r="24" spans="1:12" x14ac:dyDescent="0.25">
      <c r="A24" s="158"/>
      <c r="B24" s="184" t="s">
        <v>143</v>
      </c>
      <c r="C24" s="156"/>
      <c r="D24" s="156"/>
      <c r="E24" s="156"/>
      <c r="F24" s="156"/>
      <c r="G24" s="156"/>
      <c r="H24" s="156"/>
      <c r="I24" s="157"/>
      <c r="J24" s="36"/>
      <c r="K24" s="36"/>
      <c r="L24" s="36"/>
    </row>
    <row r="25" spans="1:12" ht="15.75" thickBot="1" x14ac:dyDescent="0.3">
      <c r="A25" s="185"/>
      <c r="B25" s="186"/>
      <c r="C25" s="187"/>
      <c r="D25" s="187"/>
      <c r="E25" s="187"/>
      <c r="F25" s="187"/>
      <c r="G25" s="187"/>
      <c r="H25" s="187"/>
      <c r="I25" s="188"/>
      <c r="J25" s="36"/>
      <c r="K25" s="36"/>
      <c r="L25" s="36"/>
    </row>
    <row r="26" spans="1:12" x14ac:dyDescent="0.25">
      <c r="A26" s="82"/>
      <c r="B26" s="82"/>
      <c r="C26" s="82"/>
      <c r="D26" s="82"/>
      <c r="E26" s="82"/>
      <c r="F26" s="82"/>
      <c r="G26" s="82"/>
      <c r="H26" s="82"/>
      <c r="I26" s="82"/>
      <c r="J26" s="36"/>
      <c r="K26" s="36"/>
      <c r="L26" s="36"/>
    </row>
    <row r="27" spans="1:12" x14ac:dyDescent="0.25">
      <c r="A27" s="82" t="s">
        <v>28</v>
      </c>
      <c r="B27" s="82" t="s">
        <v>61</v>
      </c>
      <c r="C27" s="82" t="str">
        <f>D7&amp;"-"&amp;E7</f>
        <v>12-24</v>
      </c>
      <c r="D27" s="82" t="str">
        <f t="shared" ref="D27:E27" si="0">E7&amp;"-"&amp;F7</f>
        <v>24-36</v>
      </c>
      <c r="E27" s="82" t="str">
        <f t="shared" si="0"/>
        <v>36-48</v>
      </c>
      <c r="F27" s="82"/>
      <c r="G27" s="82"/>
      <c r="H27" s="82"/>
      <c r="I27" s="82"/>
      <c r="J27" s="36"/>
      <c r="K27" s="36"/>
      <c r="L27" s="36"/>
    </row>
    <row r="28" spans="1:12" x14ac:dyDescent="0.25">
      <c r="A28" s="82"/>
      <c r="B28" s="82">
        <f>B8</f>
        <v>2014</v>
      </c>
      <c r="C28" s="82">
        <f>E8/D8</f>
        <v>1.3499994499026329</v>
      </c>
      <c r="D28" s="82">
        <f t="shared" ref="D28:E29" si="1">F8/E8</f>
        <v>1.149999388780454</v>
      </c>
      <c r="E28" s="82">
        <f t="shared" si="1"/>
        <v>1.1000008858258998</v>
      </c>
      <c r="F28" s="82"/>
      <c r="G28" s="82"/>
      <c r="H28" s="82"/>
      <c r="I28" s="82"/>
      <c r="J28" s="36"/>
      <c r="K28" s="36"/>
      <c r="L28" s="36"/>
    </row>
    <row r="29" spans="1:12" x14ac:dyDescent="0.25">
      <c r="A29" s="82"/>
      <c r="B29" s="82">
        <f t="shared" ref="B29:B30" si="2">B9</f>
        <v>2015</v>
      </c>
      <c r="C29" s="82">
        <f t="shared" ref="C29:C30" si="3">E9/D9</f>
        <v>1.3500007744693594</v>
      </c>
      <c r="D29" s="82">
        <f t="shared" si="1"/>
        <v>1.1500002868403389</v>
      </c>
      <c r="E29" s="82"/>
      <c r="F29" s="82"/>
      <c r="G29" s="82"/>
      <c r="H29" s="82"/>
      <c r="I29" s="82"/>
      <c r="J29" s="36"/>
      <c r="K29" s="36"/>
      <c r="L29" s="36"/>
    </row>
    <row r="30" spans="1:12" x14ac:dyDescent="0.25">
      <c r="A30" s="82"/>
      <c r="B30" s="82">
        <f t="shared" si="2"/>
        <v>2016</v>
      </c>
      <c r="C30" s="82">
        <f t="shared" si="3"/>
        <v>1.3499991521338368</v>
      </c>
      <c r="D30" s="82"/>
      <c r="E30" s="82"/>
      <c r="F30" s="82"/>
      <c r="G30" s="82"/>
      <c r="H30" s="82"/>
      <c r="I30" s="82"/>
      <c r="J30" s="36"/>
      <c r="K30" s="36"/>
      <c r="L30" s="36"/>
    </row>
    <row r="31" spans="1:12" x14ac:dyDescent="0.25">
      <c r="A31" s="82"/>
      <c r="B31" s="82"/>
      <c r="C31" s="82"/>
      <c r="D31" s="82"/>
      <c r="E31" s="82"/>
      <c r="F31" s="82"/>
      <c r="G31" s="82"/>
      <c r="H31" s="82"/>
      <c r="I31" s="82"/>
      <c r="J31" s="36"/>
      <c r="K31" s="36"/>
      <c r="L31" s="36"/>
    </row>
    <row r="32" spans="1:12" x14ac:dyDescent="0.25">
      <c r="A32" s="82"/>
      <c r="B32" s="82" t="s">
        <v>144</v>
      </c>
      <c r="C32" s="82">
        <v>1.35</v>
      </c>
      <c r="D32" s="82">
        <v>1.1499999999999999</v>
      </c>
      <c r="E32" s="82">
        <v>1.1000000000000001</v>
      </c>
      <c r="F32" s="82"/>
      <c r="G32" s="82"/>
      <c r="H32" s="82"/>
      <c r="I32" s="82"/>
      <c r="J32" s="36"/>
      <c r="K32" s="36"/>
      <c r="L32" s="36"/>
    </row>
    <row r="33" spans="1:12" x14ac:dyDescent="0.25">
      <c r="A33" s="82"/>
      <c r="B33" s="82" t="s">
        <v>145</v>
      </c>
      <c r="C33" s="82">
        <f>C32*D33</f>
        <v>1.7077499999999999</v>
      </c>
      <c r="D33" s="82">
        <f t="shared" ref="D33:E33" si="4">D32*E33</f>
        <v>1.2649999999999999</v>
      </c>
      <c r="E33" s="82">
        <f t="shared" si="4"/>
        <v>1.1000000000000001</v>
      </c>
      <c r="F33" s="82">
        <v>1</v>
      </c>
      <c r="G33" s="82"/>
      <c r="H33" s="82"/>
      <c r="I33" s="82"/>
      <c r="J33" s="36"/>
      <c r="K33" s="36"/>
      <c r="L33" s="36"/>
    </row>
    <row r="34" spans="1:12" x14ac:dyDescent="0.25">
      <c r="A34" s="82"/>
      <c r="B34" s="82"/>
      <c r="C34" s="82"/>
      <c r="D34" s="82"/>
      <c r="E34" s="82"/>
      <c r="F34" s="82"/>
      <c r="G34" s="82"/>
      <c r="H34" s="82"/>
      <c r="I34" s="82"/>
      <c r="J34" s="36"/>
      <c r="K34" s="36"/>
      <c r="L34" s="36"/>
    </row>
    <row r="35" spans="1:12" x14ac:dyDescent="0.25">
      <c r="A35" s="82"/>
      <c r="B35" s="82" t="s">
        <v>61</v>
      </c>
      <c r="C35" s="82" t="s">
        <v>146</v>
      </c>
      <c r="D35" s="82" t="s">
        <v>147</v>
      </c>
      <c r="E35" s="82" t="s">
        <v>148</v>
      </c>
      <c r="F35" s="82" t="s">
        <v>138</v>
      </c>
      <c r="G35" s="82" t="s">
        <v>149</v>
      </c>
      <c r="H35" s="82" t="s">
        <v>150</v>
      </c>
      <c r="I35" s="82"/>
      <c r="J35" s="36"/>
      <c r="K35" s="36"/>
      <c r="L35" s="36"/>
    </row>
    <row r="36" spans="1:12" x14ac:dyDescent="0.25">
      <c r="A36" s="82"/>
      <c r="B36" s="82">
        <v>2014</v>
      </c>
      <c r="C36" s="82">
        <f>F33</f>
        <v>1</v>
      </c>
      <c r="D36" s="189">
        <f>G8</f>
        <v>620890</v>
      </c>
      <c r="E36" s="189">
        <f>C36*D36</f>
        <v>620890</v>
      </c>
      <c r="F36" s="190">
        <f>C8</f>
        <v>898</v>
      </c>
      <c r="G36" s="191">
        <f>E36/F36</f>
        <v>691.41425389755011</v>
      </c>
      <c r="H36" s="82"/>
      <c r="I36" s="82"/>
      <c r="J36" s="36"/>
      <c r="K36" s="36"/>
      <c r="L36" s="36"/>
    </row>
    <row r="37" spans="1:12" x14ac:dyDescent="0.25">
      <c r="A37" s="82"/>
      <c r="B37" s="82">
        <v>2015</v>
      </c>
      <c r="C37" s="82">
        <f>E33</f>
        <v>1.1000000000000001</v>
      </c>
      <c r="D37" s="189">
        <f>F9</f>
        <v>601380</v>
      </c>
      <c r="E37" s="189">
        <f t="shared" ref="E37:E39" si="5">C37*D37</f>
        <v>661518</v>
      </c>
      <c r="F37" s="190">
        <f t="shared" ref="F37:F39" si="6">C9</f>
        <v>938</v>
      </c>
      <c r="G37" s="191">
        <f t="shared" ref="G37:G39" si="7">E37/F37</f>
        <v>705.2430703624733</v>
      </c>
      <c r="H37" s="192">
        <f>G37/G36-1</f>
        <v>2.0000768550791692E-2</v>
      </c>
      <c r="I37" s="82"/>
      <c r="J37" s="36"/>
      <c r="K37" s="36"/>
      <c r="L37" s="36"/>
    </row>
    <row r="38" spans="1:12" x14ac:dyDescent="0.25">
      <c r="A38" s="82"/>
      <c r="B38" s="82">
        <v>2016</v>
      </c>
      <c r="C38" s="82">
        <f>D33</f>
        <v>1.2649999999999999</v>
      </c>
      <c r="D38" s="189">
        <f>E10</f>
        <v>557281</v>
      </c>
      <c r="E38" s="189">
        <f t="shared" si="5"/>
        <v>704960.46499999997</v>
      </c>
      <c r="F38" s="190">
        <f t="shared" si="6"/>
        <v>980</v>
      </c>
      <c r="G38" s="191">
        <f t="shared" si="7"/>
        <v>719.34741326530605</v>
      </c>
      <c r="H38" s="192">
        <f t="shared" ref="H38:H39" si="8">G38/G37-1</f>
        <v>1.9999264786229709E-2</v>
      </c>
      <c r="I38" s="82"/>
      <c r="J38" s="36"/>
      <c r="K38" s="36"/>
      <c r="L38" s="36"/>
    </row>
    <row r="39" spans="1:12" x14ac:dyDescent="0.25">
      <c r="A39" s="82"/>
      <c r="B39" s="82">
        <v>2017</v>
      </c>
      <c r="C39" s="82">
        <f>C33</f>
        <v>1.7077499999999999</v>
      </c>
      <c r="D39" s="189">
        <f>D11</f>
        <v>439961</v>
      </c>
      <c r="E39" s="189">
        <f t="shared" si="5"/>
        <v>751343.39775</v>
      </c>
      <c r="F39" s="190">
        <f t="shared" si="6"/>
        <v>1024</v>
      </c>
      <c r="G39" s="191">
        <f t="shared" si="7"/>
        <v>733.73378686523438</v>
      </c>
      <c r="H39" s="192">
        <f t="shared" si="8"/>
        <v>1.9999201129569322E-2</v>
      </c>
      <c r="I39" s="82"/>
      <c r="J39" s="36"/>
      <c r="K39" s="36"/>
      <c r="L39" s="36"/>
    </row>
    <row r="40" spans="1:12" x14ac:dyDescent="0.25">
      <c r="A40" s="82"/>
      <c r="B40" s="82"/>
      <c r="C40" s="82"/>
      <c r="D40" s="82"/>
      <c r="E40" s="82"/>
      <c r="F40" s="82"/>
      <c r="G40" s="82"/>
      <c r="H40" s="193">
        <f>AVERAGE(H37:H39)</f>
        <v>1.9999744822196908E-2</v>
      </c>
      <c r="I40" s="82" t="s">
        <v>151</v>
      </c>
      <c r="J40" s="36"/>
      <c r="K40" s="36"/>
      <c r="L40" s="36"/>
    </row>
    <row r="41" spans="1:12" x14ac:dyDescent="0.25">
      <c r="A41" s="82"/>
      <c r="B41" s="82"/>
      <c r="C41" s="82"/>
      <c r="D41" s="82"/>
      <c r="E41" s="82"/>
      <c r="F41" s="82"/>
      <c r="G41" s="82"/>
      <c r="H41" s="82"/>
      <c r="I41" s="82"/>
      <c r="J41" s="36"/>
      <c r="K41" s="36"/>
      <c r="L41" s="36"/>
    </row>
    <row r="42" spans="1:12" x14ac:dyDescent="0.25">
      <c r="A42" s="82" t="s">
        <v>40</v>
      </c>
      <c r="B42" s="82" t="s">
        <v>152</v>
      </c>
      <c r="C42" s="82" t="s">
        <v>153</v>
      </c>
      <c r="D42" s="82"/>
      <c r="E42" s="82"/>
      <c r="F42" s="82"/>
      <c r="G42" s="82"/>
      <c r="H42" s="82"/>
      <c r="I42" s="82"/>
      <c r="J42" s="36"/>
      <c r="K42" s="36"/>
      <c r="L42" s="36"/>
    </row>
    <row r="43" spans="1:12" x14ac:dyDescent="0.25">
      <c r="A43" s="82"/>
      <c r="B43" s="82"/>
      <c r="C43" s="82" t="s">
        <v>154</v>
      </c>
      <c r="D43" s="82"/>
      <c r="E43" s="82"/>
      <c r="F43" s="82"/>
      <c r="G43" s="82"/>
      <c r="H43" s="82"/>
      <c r="I43" s="82"/>
      <c r="J43" s="36"/>
      <c r="K43" s="36"/>
      <c r="L43" s="36"/>
    </row>
    <row r="44" spans="1:12" x14ac:dyDescent="0.25">
      <c r="A44" s="82"/>
      <c r="B44" s="82"/>
      <c r="C44" s="82" t="s">
        <v>155</v>
      </c>
      <c r="D44" s="82"/>
      <c r="E44" s="82"/>
      <c r="F44" s="82"/>
      <c r="G44" s="82"/>
      <c r="H44" s="82"/>
      <c r="I44" s="82"/>
      <c r="J44" s="36"/>
      <c r="K44" s="36"/>
      <c r="L44" s="36"/>
    </row>
    <row r="45" spans="1:12" x14ac:dyDescent="0.25">
      <c r="A45" s="82"/>
      <c r="B45" s="82"/>
      <c r="C45" s="82"/>
      <c r="D45" s="82"/>
      <c r="E45" s="82"/>
      <c r="F45" s="82"/>
      <c r="G45" s="82"/>
      <c r="H45" s="82"/>
      <c r="I45" s="82"/>
      <c r="J45" s="36"/>
      <c r="K45" s="36"/>
      <c r="L45" s="36"/>
    </row>
    <row r="46" spans="1:12" x14ac:dyDescent="0.25">
      <c r="A46" s="82"/>
      <c r="B46" s="82" t="s">
        <v>156</v>
      </c>
      <c r="C46" s="82"/>
      <c r="D46" s="82"/>
      <c r="E46" s="82"/>
      <c r="F46" s="82"/>
      <c r="G46" s="82"/>
      <c r="H46" s="82"/>
      <c r="I46" s="82"/>
      <c r="J46" s="36"/>
      <c r="K46" s="36"/>
      <c r="L46" s="36"/>
    </row>
    <row r="47" spans="1:12" x14ac:dyDescent="0.25">
      <c r="A47" s="82"/>
      <c r="B47" s="194">
        <v>43465</v>
      </c>
      <c r="C47" s="82"/>
      <c r="D47" s="82"/>
      <c r="E47" s="82"/>
      <c r="F47" s="82"/>
      <c r="G47" s="82"/>
      <c r="H47" s="82"/>
      <c r="I47" s="82"/>
      <c r="J47" s="36"/>
      <c r="K47" s="36"/>
      <c r="L47" s="36"/>
    </row>
    <row r="48" spans="1:12" x14ac:dyDescent="0.25">
      <c r="A48" s="82"/>
      <c r="B48" s="82"/>
      <c r="C48" s="82"/>
      <c r="D48" s="82"/>
      <c r="E48" s="82"/>
      <c r="F48" s="82"/>
      <c r="G48" s="82"/>
      <c r="H48" s="82"/>
      <c r="I48" s="82"/>
      <c r="J48" s="36"/>
      <c r="K48" s="36"/>
      <c r="L48" s="36"/>
    </row>
    <row r="49" spans="1:12" x14ac:dyDescent="0.25">
      <c r="A49" s="82"/>
      <c r="B49" s="82" t="s">
        <v>157</v>
      </c>
      <c r="C49" s="82"/>
      <c r="D49" s="82"/>
      <c r="E49" s="82"/>
      <c r="F49" s="82"/>
      <c r="G49" s="82"/>
      <c r="H49" s="82"/>
      <c r="I49" s="82"/>
      <c r="J49" s="36"/>
      <c r="K49" s="36"/>
      <c r="L49" s="36"/>
    </row>
    <row r="50" spans="1:12" x14ac:dyDescent="0.25">
      <c r="A50" s="82"/>
      <c r="B50" s="194">
        <v>42916</v>
      </c>
      <c r="C50" s="82"/>
      <c r="D50" s="82"/>
      <c r="E50" s="82"/>
      <c r="F50" s="82"/>
      <c r="G50" s="82"/>
      <c r="H50" s="82"/>
      <c r="I50" s="82"/>
      <c r="J50" s="36"/>
      <c r="K50" s="36"/>
      <c r="L50" s="36"/>
    </row>
    <row r="51" spans="1:12" x14ac:dyDescent="0.25">
      <c r="A51" s="82"/>
      <c r="B51" s="82"/>
      <c r="C51" s="82"/>
      <c r="D51" s="82"/>
      <c r="E51" s="82"/>
      <c r="F51" s="82"/>
      <c r="G51" s="82"/>
      <c r="H51" s="82"/>
      <c r="I51" s="82"/>
      <c r="J51" s="36"/>
      <c r="K51" s="36"/>
      <c r="L51" s="36"/>
    </row>
    <row r="52" spans="1:12" x14ac:dyDescent="0.25">
      <c r="A52" s="82"/>
      <c r="B52" s="82" t="s">
        <v>158</v>
      </c>
      <c r="C52" s="82"/>
      <c r="D52" s="82"/>
      <c r="E52" s="82"/>
      <c r="F52" s="82"/>
      <c r="G52" s="82"/>
      <c r="H52" s="82"/>
      <c r="I52" s="82"/>
      <c r="J52" s="36"/>
      <c r="K52" s="36"/>
      <c r="L52" s="36"/>
    </row>
    <row r="53" spans="1:12" x14ac:dyDescent="0.25">
      <c r="A53" s="82"/>
      <c r="B53" s="195">
        <f>G39*1.02^(1.5)*1.2</f>
        <v>907.02659567595776</v>
      </c>
      <c r="C53" s="82"/>
      <c r="D53" s="82"/>
      <c r="E53" s="82"/>
      <c r="F53" s="82"/>
      <c r="G53" s="82"/>
      <c r="H53" s="82"/>
      <c r="I53" s="82"/>
      <c r="J53" s="36"/>
      <c r="K53" s="36"/>
      <c r="L53" s="36"/>
    </row>
    <row r="54" spans="1:12" x14ac:dyDescent="0.25">
      <c r="A54" s="82"/>
      <c r="B54" s="82"/>
      <c r="C54" s="82"/>
      <c r="D54" s="82"/>
      <c r="E54" s="82"/>
      <c r="F54" s="82"/>
      <c r="G54" s="82"/>
      <c r="H54" s="82"/>
      <c r="I54" s="82"/>
      <c r="J54" s="36"/>
      <c r="K54" s="36"/>
      <c r="L54" s="36"/>
    </row>
    <row r="55" spans="1:12" x14ac:dyDescent="0.25">
      <c r="A55" s="82" t="s">
        <v>43</v>
      </c>
      <c r="B55" s="82" t="s">
        <v>159</v>
      </c>
      <c r="C55" s="82"/>
      <c r="D55" s="82"/>
      <c r="E55" s="82"/>
      <c r="F55" s="82"/>
      <c r="G55" s="82"/>
      <c r="H55" s="82"/>
      <c r="I55" s="82"/>
      <c r="J55" s="36"/>
      <c r="K55" s="36"/>
      <c r="L55" s="36"/>
    </row>
    <row r="56" spans="1:12" x14ac:dyDescent="0.25">
      <c r="A56" s="82"/>
      <c r="B56" s="82" t="s">
        <v>160</v>
      </c>
      <c r="C56" s="82"/>
      <c r="D56" s="82"/>
      <c r="E56" s="82"/>
      <c r="F56" s="82"/>
      <c r="G56" s="82"/>
      <c r="H56" s="82"/>
      <c r="I56" s="82"/>
      <c r="J56" s="36"/>
      <c r="K56" s="36"/>
      <c r="L56" s="36"/>
    </row>
    <row r="57" spans="1:12" x14ac:dyDescent="0.25">
      <c r="A57" s="82"/>
      <c r="B57" s="82"/>
      <c r="C57" s="82"/>
      <c r="D57" s="82"/>
      <c r="E57" s="82"/>
      <c r="F57" s="82"/>
      <c r="G57" s="82"/>
      <c r="H57" s="82"/>
      <c r="I57" s="82"/>
      <c r="J57" s="36"/>
      <c r="K57" s="36"/>
      <c r="L57" s="36"/>
    </row>
    <row r="58" spans="1:12" x14ac:dyDescent="0.25">
      <c r="A58" s="82"/>
      <c r="B58" s="82"/>
      <c r="C58" s="82"/>
      <c r="D58" s="82"/>
      <c r="E58" s="82"/>
      <c r="F58" s="82"/>
      <c r="G58" s="82"/>
      <c r="H58" s="82"/>
      <c r="I58" s="82"/>
      <c r="J58" s="36"/>
      <c r="K58" s="36"/>
      <c r="L58" s="36"/>
    </row>
    <row r="59" spans="1:12" x14ac:dyDescent="0.25">
      <c r="A59" s="82"/>
      <c r="B59" s="82"/>
      <c r="C59" s="82"/>
      <c r="D59" s="82"/>
      <c r="E59" s="82"/>
      <c r="F59" s="82"/>
      <c r="G59" s="82"/>
      <c r="H59" s="82"/>
      <c r="I59" s="82"/>
      <c r="J59" s="36"/>
      <c r="K59" s="36"/>
      <c r="L59" s="36"/>
    </row>
    <row r="60" spans="1:12" x14ac:dyDescent="0.25">
      <c r="A60" s="82"/>
      <c r="B60" s="82"/>
      <c r="C60" s="82"/>
      <c r="D60" s="82"/>
      <c r="E60" s="82"/>
      <c r="F60" s="82"/>
      <c r="G60" s="82"/>
      <c r="H60" s="82"/>
      <c r="I60" s="82"/>
      <c r="J60" s="36"/>
      <c r="K60" s="36"/>
      <c r="L60" s="36"/>
    </row>
    <row r="61" spans="1:12" x14ac:dyDescent="0.25">
      <c r="A61" s="82"/>
      <c r="B61" s="82"/>
      <c r="C61" s="82"/>
      <c r="D61" s="82"/>
      <c r="E61" s="82"/>
      <c r="F61" s="82"/>
      <c r="G61" s="82"/>
      <c r="H61" s="82"/>
      <c r="I61" s="82"/>
      <c r="J61" s="36"/>
      <c r="K61" s="36"/>
      <c r="L61" s="36"/>
    </row>
    <row r="62" spans="1:12" x14ac:dyDescent="0.25">
      <c r="A62" s="36"/>
      <c r="B62" s="36"/>
      <c r="C62" s="36"/>
      <c r="D62" s="36"/>
      <c r="E62" s="36"/>
      <c r="F62" s="36"/>
      <c r="G62" s="36"/>
      <c r="H62" s="36"/>
      <c r="I62" s="36"/>
      <c r="J62" s="36"/>
      <c r="K62" s="36"/>
      <c r="L62" s="36"/>
    </row>
    <row r="63" spans="1:12" x14ac:dyDescent="0.25">
      <c r="A63" s="36"/>
      <c r="B63" s="36"/>
      <c r="C63" s="36"/>
      <c r="D63" s="36"/>
      <c r="E63" s="36"/>
      <c r="F63" s="36"/>
      <c r="G63" s="36"/>
      <c r="H63" s="36"/>
      <c r="I63" s="36"/>
      <c r="J63" s="36"/>
      <c r="K63" s="36"/>
      <c r="L63" s="36"/>
    </row>
    <row r="64" spans="1:12" x14ac:dyDescent="0.25">
      <c r="A64" s="36"/>
      <c r="B64" s="36"/>
      <c r="C64" s="36"/>
      <c r="D64" s="36"/>
      <c r="E64" s="36"/>
      <c r="F64" s="36"/>
      <c r="G64" s="36"/>
      <c r="H64" s="36"/>
      <c r="I64" s="36"/>
      <c r="J64" s="36"/>
      <c r="K64" s="36"/>
      <c r="L64" s="36"/>
    </row>
    <row r="65" spans="1:12" x14ac:dyDescent="0.25">
      <c r="A65" s="36"/>
      <c r="B65" s="36"/>
      <c r="C65" s="36"/>
      <c r="D65" s="36"/>
      <c r="E65" s="36"/>
      <c r="F65" s="36"/>
      <c r="G65" s="36"/>
      <c r="H65" s="36"/>
      <c r="I65" s="36"/>
      <c r="J65" s="36"/>
      <c r="K65" s="36"/>
      <c r="L65" s="36"/>
    </row>
    <row r="66" spans="1:12" x14ac:dyDescent="0.25">
      <c r="A66" s="36"/>
      <c r="B66" s="36"/>
      <c r="C66" s="36"/>
      <c r="D66" s="36"/>
      <c r="E66" s="36"/>
      <c r="F66" s="36"/>
      <c r="G66" s="36"/>
      <c r="H66" s="36"/>
      <c r="I66" s="36"/>
      <c r="J66" s="36"/>
      <c r="K66" s="36"/>
      <c r="L66" s="36"/>
    </row>
    <row r="67" spans="1:12" x14ac:dyDescent="0.25">
      <c r="A67" s="36"/>
      <c r="B67" s="36"/>
      <c r="C67" s="36"/>
      <c r="D67" s="36"/>
      <c r="E67" s="36"/>
      <c r="F67" s="36"/>
      <c r="G67" s="36"/>
      <c r="H67" s="36"/>
      <c r="I67" s="36"/>
      <c r="J67" s="36"/>
      <c r="K67" s="36"/>
      <c r="L67" s="36"/>
    </row>
    <row r="68" spans="1:12" x14ac:dyDescent="0.25">
      <c r="A68" s="36"/>
      <c r="B68" s="36"/>
      <c r="C68" s="36"/>
      <c r="D68" s="36"/>
      <c r="E68" s="36"/>
      <c r="F68" s="36"/>
      <c r="G68" s="36"/>
      <c r="H68" s="36"/>
      <c r="I68" s="36"/>
      <c r="J68" s="36"/>
      <c r="K68" s="36"/>
      <c r="L68" s="36"/>
    </row>
    <row r="69" spans="1:12" x14ac:dyDescent="0.25">
      <c r="A69" s="36"/>
      <c r="B69" s="36"/>
      <c r="C69" s="36"/>
      <c r="D69" s="36"/>
      <c r="E69" s="36"/>
      <c r="F69" s="36"/>
      <c r="G69" s="36"/>
      <c r="H69" s="36"/>
      <c r="I69" s="36"/>
      <c r="J69" s="36"/>
      <c r="K69" s="36"/>
      <c r="L69" s="36"/>
    </row>
    <row r="70" spans="1:12" x14ac:dyDescent="0.25">
      <c r="A70" s="36"/>
      <c r="B70" s="36"/>
      <c r="C70" s="36"/>
      <c r="D70" s="36"/>
      <c r="E70" s="36"/>
      <c r="F70" s="36"/>
      <c r="G70" s="36"/>
      <c r="H70" s="36"/>
      <c r="I70" s="36"/>
      <c r="J70" s="36"/>
      <c r="K70" s="36"/>
      <c r="L70" s="36"/>
    </row>
    <row r="71" spans="1:12" x14ac:dyDescent="0.25">
      <c r="A71" s="36"/>
      <c r="B71" s="36"/>
      <c r="C71" s="36"/>
      <c r="D71" s="36"/>
      <c r="E71" s="36"/>
      <c r="F71" s="36"/>
      <c r="G71" s="36"/>
      <c r="H71" s="36"/>
      <c r="I71" s="36"/>
      <c r="J71" s="36"/>
      <c r="K71" s="36"/>
      <c r="L71" s="36"/>
    </row>
    <row r="72" spans="1:12" x14ac:dyDescent="0.25">
      <c r="A72" s="36"/>
      <c r="B72" s="36"/>
      <c r="C72" s="36"/>
      <c r="D72" s="36"/>
      <c r="E72" s="36"/>
      <c r="F72" s="36"/>
      <c r="G72" s="36"/>
      <c r="H72" s="36"/>
      <c r="I72" s="36"/>
      <c r="J72" s="36"/>
      <c r="K72" s="36"/>
      <c r="L72" s="36"/>
    </row>
    <row r="73" spans="1:12" x14ac:dyDescent="0.25">
      <c r="A73" s="36"/>
      <c r="B73" s="36"/>
      <c r="C73" s="36"/>
      <c r="D73" s="36"/>
      <c r="E73" s="36"/>
      <c r="F73" s="36"/>
      <c r="G73" s="36"/>
      <c r="H73" s="36"/>
      <c r="I73" s="36"/>
      <c r="J73" s="36"/>
      <c r="K73" s="36"/>
      <c r="L73" s="36"/>
    </row>
    <row r="74" spans="1:12" x14ac:dyDescent="0.25">
      <c r="A74" s="36"/>
      <c r="B74" s="36"/>
      <c r="C74" s="36"/>
      <c r="D74" s="36"/>
      <c r="E74" s="36"/>
      <c r="F74" s="36"/>
      <c r="G74" s="36"/>
      <c r="H74" s="36"/>
      <c r="I74" s="36"/>
      <c r="J74" s="36"/>
      <c r="K74" s="36"/>
      <c r="L74" s="36"/>
    </row>
    <row r="75" spans="1:12" x14ac:dyDescent="0.25">
      <c r="A75" s="36"/>
      <c r="B75" s="36"/>
      <c r="C75" s="36"/>
      <c r="D75" s="36"/>
      <c r="E75" s="36"/>
      <c r="F75" s="36"/>
      <c r="G75" s="36"/>
      <c r="H75" s="36"/>
      <c r="I75" s="36"/>
      <c r="J75" s="36"/>
      <c r="K75" s="36"/>
      <c r="L75" s="36"/>
    </row>
    <row r="76" spans="1:12" x14ac:dyDescent="0.25">
      <c r="A76" s="36"/>
      <c r="B76" s="36"/>
      <c r="C76" s="36"/>
      <c r="D76" s="36"/>
      <c r="E76" s="36"/>
      <c r="F76" s="36"/>
      <c r="G76" s="36"/>
      <c r="H76" s="36"/>
      <c r="I76" s="36"/>
      <c r="J76" s="36"/>
      <c r="K76" s="36"/>
      <c r="L76" s="36"/>
    </row>
    <row r="77" spans="1:12" x14ac:dyDescent="0.25">
      <c r="A77" s="36"/>
      <c r="B77" s="36"/>
      <c r="C77" s="36"/>
      <c r="D77" s="36"/>
      <c r="E77" s="36"/>
      <c r="F77" s="36"/>
      <c r="G77" s="36"/>
      <c r="H77" s="36"/>
      <c r="I77" s="36"/>
      <c r="J77" s="36"/>
      <c r="K77" s="36"/>
      <c r="L77" s="36"/>
    </row>
    <row r="78" spans="1:12" x14ac:dyDescent="0.25">
      <c r="A78" s="36"/>
      <c r="B78" s="36"/>
      <c r="C78" s="36"/>
      <c r="D78" s="36"/>
      <c r="E78" s="36"/>
      <c r="F78" s="36"/>
      <c r="G78" s="36"/>
      <c r="H78" s="36"/>
      <c r="I78" s="36"/>
      <c r="J78" s="36"/>
      <c r="K78" s="36"/>
      <c r="L78" s="36"/>
    </row>
    <row r="79" spans="1:12" x14ac:dyDescent="0.25">
      <c r="A79" s="36"/>
      <c r="B79" s="36"/>
      <c r="C79" s="36"/>
      <c r="D79" s="36"/>
      <c r="E79" s="36"/>
      <c r="F79" s="36"/>
      <c r="G79" s="36"/>
      <c r="H79" s="36"/>
      <c r="I79" s="36"/>
      <c r="J79" s="36"/>
      <c r="K79" s="36"/>
      <c r="L79" s="36"/>
    </row>
    <row r="80" spans="1:12" x14ac:dyDescent="0.25">
      <c r="A80" s="36"/>
      <c r="B80" s="36"/>
      <c r="C80" s="36"/>
      <c r="D80" s="36"/>
      <c r="E80" s="36"/>
      <c r="F80" s="36"/>
      <c r="G80" s="36"/>
      <c r="H80" s="36"/>
      <c r="I80" s="36"/>
      <c r="J80" s="36"/>
      <c r="K80" s="36"/>
      <c r="L80" s="36"/>
    </row>
    <row r="81" spans="1:12" x14ac:dyDescent="0.25">
      <c r="A81" s="36"/>
      <c r="B81" s="36"/>
      <c r="C81" s="36"/>
      <c r="D81" s="36"/>
      <c r="E81" s="36"/>
      <c r="F81" s="36"/>
      <c r="G81" s="36"/>
      <c r="H81" s="36"/>
      <c r="I81" s="36"/>
      <c r="J81" s="36"/>
      <c r="K81" s="36"/>
      <c r="L81" s="36"/>
    </row>
    <row r="82" spans="1:12" x14ac:dyDescent="0.25">
      <c r="A82" s="36"/>
      <c r="B82" s="36"/>
      <c r="C82" s="36"/>
      <c r="D82" s="36"/>
      <c r="E82" s="36"/>
      <c r="F82" s="36"/>
      <c r="G82" s="36"/>
      <c r="H82" s="36"/>
      <c r="I82" s="36"/>
      <c r="J82" s="36"/>
      <c r="K82" s="36"/>
      <c r="L82" s="36"/>
    </row>
    <row r="83" spans="1:12" x14ac:dyDescent="0.25">
      <c r="A83" s="36"/>
      <c r="B83" s="36"/>
      <c r="C83" s="36"/>
      <c r="D83" s="36"/>
      <c r="E83" s="36"/>
      <c r="F83" s="36"/>
      <c r="G83" s="36"/>
      <c r="H83" s="36"/>
      <c r="I83" s="36"/>
      <c r="J83" s="36"/>
      <c r="K83" s="36"/>
      <c r="L83" s="36"/>
    </row>
    <row r="84" spans="1:12" x14ac:dyDescent="0.25">
      <c r="A84" s="36"/>
      <c r="B84" s="36"/>
      <c r="C84" s="36"/>
      <c r="D84" s="36"/>
      <c r="E84" s="36"/>
      <c r="F84" s="36"/>
      <c r="G84" s="36"/>
      <c r="H84" s="36"/>
      <c r="I84" s="36"/>
      <c r="J84" s="36"/>
      <c r="K84" s="36"/>
      <c r="L84" s="36"/>
    </row>
    <row r="85" spans="1:12" x14ac:dyDescent="0.25">
      <c r="A85" s="36"/>
      <c r="B85" s="36"/>
      <c r="C85" s="36"/>
      <c r="D85" s="36"/>
      <c r="E85" s="36"/>
      <c r="F85" s="36"/>
      <c r="G85" s="36"/>
      <c r="H85" s="36"/>
      <c r="I85" s="36"/>
      <c r="J85" s="36"/>
      <c r="K85" s="36"/>
      <c r="L85" s="36"/>
    </row>
    <row r="86" spans="1:12" x14ac:dyDescent="0.25">
      <c r="A86" s="36"/>
      <c r="B86" s="36"/>
      <c r="C86" s="36"/>
      <c r="D86" s="36"/>
      <c r="E86" s="36"/>
      <c r="F86" s="36"/>
      <c r="G86" s="36"/>
      <c r="H86" s="36"/>
      <c r="I86" s="36"/>
      <c r="J86" s="36"/>
      <c r="K86" s="36"/>
      <c r="L86" s="36"/>
    </row>
    <row r="87" spans="1:12" x14ac:dyDescent="0.25">
      <c r="A87" s="36"/>
      <c r="B87" s="36"/>
      <c r="C87" s="36"/>
      <c r="D87" s="36"/>
      <c r="E87" s="36"/>
      <c r="F87" s="36"/>
      <c r="G87" s="36"/>
      <c r="H87" s="36"/>
      <c r="I87" s="36"/>
      <c r="J87" s="36"/>
      <c r="K87" s="36"/>
      <c r="L87" s="36"/>
    </row>
    <row r="88" spans="1:12" x14ac:dyDescent="0.25">
      <c r="A88" s="36"/>
      <c r="B88" s="36"/>
      <c r="C88" s="36"/>
      <c r="D88" s="36"/>
      <c r="E88" s="36"/>
      <c r="F88" s="36"/>
      <c r="G88" s="36"/>
      <c r="H88" s="36"/>
      <c r="I88" s="36"/>
      <c r="J88" s="36"/>
      <c r="K88" s="36"/>
      <c r="L88" s="36"/>
    </row>
    <row r="89" spans="1:12" x14ac:dyDescent="0.25">
      <c r="A89" s="36"/>
      <c r="B89" s="36"/>
      <c r="C89" s="36"/>
      <c r="D89" s="36"/>
      <c r="E89" s="36"/>
      <c r="F89" s="36"/>
      <c r="G89" s="36"/>
      <c r="H89" s="36"/>
      <c r="I89" s="36"/>
      <c r="J89" s="36"/>
      <c r="K89" s="36"/>
      <c r="L89" s="36"/>
    </row>
    <row r="90" spans="1:12" x14ac:dyDescent="0.25">
      <c r="A90" s="36"/>
      <c r="B90" s="36"/>
      <c r="C90" s="36"/>
      <c r="D90" s="36"/>
      <c r="E90" s="36"/>
      <c r="F90" s="36"/>
      <c r="G90" s="36"/>
      <c r="H90" s="36"/>
      <c r="I90" s="36"/>
      <c r="J90" s="36"/>
      <c r="K90" s="36"/>
      <c r="L90" s="36"/>
    </row>
    <row r="91" spans="1:12" x14ac:dyDescent="0.25">
      <c r="A91" s="36"/>
      <c r="B91" s="36"/>
      <c r="C91" s="36"/>
      <c r="D91" s="36"/>
      <c r="E91" s="36"/>
      <c r="F91" s="36"/>
      <c r="G91" s="36"/>
      <c r="H91" s="36"/>
      <c r="I91" s="36"/>
      <c r="J91" s="36"/>
      <c r="K91" s="36"/>
      <c r="L91" s="36"/>
    </row>
    <row r="92" spans="1:12" x14ac:dyDescent="0.25">
      <c r="A92" s="36"/>
      <c r="B92" s="36"/>
      <c r="C92" s="36"/>
      <c r="D92" s="36"/>
      <c r="E92" s="36"/>
      <c r="F92" s="36"/>
      <c r="G92" s="36"/>
      <c r="H92" s="36"/>
      <c r="I92" s="36"/>
      <c r="J92" s="36"/>
      <c r="K92" s="36"/>
      <c r="L92" s="36"/>
    </row>
    <row r="93" spans="1:12" x14ac:dyDescent="0.25">
      <c r="A93" s="36"/>
      <c r="B93" s="36"/>
      <c r="C93" s="36"/>
      <c r="D93" s="36"/>
      <c r="E93" s="36"/>
      <c r="F93" s="36"/>
      <c r="G93" s="36"/>
      <c r="H93" s="36"/>
      <c r="I93" s="36"/>
      <c r="J93" s="36"/>
      <c r="K93" s="36"/>
      <c r="L93" s="36"/>
    </row>
    <row r="94" spans="1:12" x14ac:dyDescent="0.25">
      <c r="A94" s="36"/>
      <c r="B94" s="36"/>
      <c r="C94" s="36"/>
      <c r="D94" s="36"/>
      <c r="E94" s="36"/>
      <c r="F94" s="36"/>
      <c r="G94" s="36"/>
      <c r="H94" s="36"/>
      <c r="I94" s="36"/>
      <c r="J94" s="36"/>
      <c r="K94" s="36"/>
      <c r="L94" s="36"/>
    </row>
    <row r="95" spans="1:12" x14ac:dyDescent="0.25">
      <c r="A95" s="36"/>
      <c r="B95" s="36"/>
      <c r="C95" s="36"/>
      <c r="D95" s="36"/>
      <c r="E95" s="36"/>
      <c r="F95" s="36"/>
      <c r="G95" s="36"/>
      <c r="H95" s="36"/>
      <c r="I95" s="36"/>
      <c r="J95" s="36"/>
      <c r="K95" s="36"/>
      <c r="L95" s="36"/>
    </row>
    <row r="96" spans="1:12" x14ac:dyDescent="0.25">
      <c r="A96" s="36"/>
      <c r="B96" s="36"/>
      <c r="C96" s="36"/>
      <c r="D96" s="36"/>
      <c r="E96" s="36"/>
      <c r="F96" s="36"/>
      <c r="G96" s="36"/>
      <c r="H96" s="36"/>
      <c r="I96" s="36"/>
      <c r="J96" s="36"/>
      <c r="K96" s="36"/>
      <c r="L96" s="36"/>
    </row>
    <row r="97" spans="1:12" x14ac:dyDescent="0.25">
      <c r="A97" s="36"/>
      <c r="B97" s="36"/>
      <c r="C97" s="36"/>
      <c r="D97" s="36"/>
      <c r="E97" s="36"/>
      <c r="F97" s="36"/>
      <c r="G97" s="36"/>
      <c r="H97" s="36"/>
      <c r="I97" s="36"/>
      <c r="J97" s="36"/>
      <c r="K97" s="36"/>
      <c r="L97" s="36"/>
    </row>
    <row r="98" spans="1:12" x14ac:dyDescent="0.25">
      <c r="A98" s="36"/>
      <c r="B98" s="36"/>
      <c r="C98" s="36"/>
      <c r="D98" s="36"/>
      <c r="E98" s="36"/>
      <c r="F98" s="36"/>
      <c r="G98" s="36"/>
      <c r="H98" s="36"/>
      <c r="I98" s="36"/>
      <c r="J98" s="36"/>
      <c r="K98" s="36"/>
      <c r="L98" s="36"/>
    </row>
    <row r="99" spans="1:12" x14ac:dyDescent="0.25">
      <c r="A99" s="36"/>
      <c r="B99" s="36"/>
      <c r="C99" s="36"/>
      <c r="D99" s="36"/>
      <c r="E99" s="36"/>
      <c r="F99" s="36"/>
      <c r="G99" s="36"/>
      <c r="H99" s="36"/>
      <c r="I99" s="36"/>
      <c r="J99" s="36"/>
      <c r="K99" s="36"/>
      <c r="L99" s="36"/>
    </row>
    <row r="100" spans="1:12" x14ac:dyDescent="0.25">
      <c r="A100" s="36"/>
      <c r="B100" s="36"/>
      <c r="C100" s="36"/>
      <c r="D100" s="36"/>
      <c r="E100" s="36"/>
      <c r="F100" s="36"/>
      <c r="G100" s="36"/>
      <c r="H100" s="36"/>
      <c r="I100" s="36"/>
      <c r="J100" s="36"/>
      <c r="K100" s="36"/>
      <c r="L100" s="36"/>
    </row>
    <row r="101" spans="1:12" x14ac:dyDescent="0.25">
      <c r="A101" s="36"/>
      <c r="B101" s="36"/>
      <c r="C101" s="36"/>
      <c r="D101" s="36"/>
      <c r="E101" s="36"/>
      <c r="F101" s="36"/>
      <c r="G101" s="36"/>
      <c r="H101" s="36"/>
      <c r="I101" s="36"/>
      <c r="J101" s="36"/>
      <c r="K101" s="36"/>
      <c r="L101" s="36"/>
    </row>
    <row r="102" spans="1:12" x14ac:dyDescent="0.25">
      <c r="A102" s="36"/>
      <c r="B102" s="36"/>
      <c r="C102" s="36"/>
      <c r="D102" s="36"/>
      <c r="E102" s="36"/>
      <c r="F102" s="36"/>
      <c r="G102" s="36"/>
      <c r="H102" s="36"/>
      <c r="I102" s="36"/>
      <c r="J102" s="36"/>
      <c r="K102" s="36"/>
      <c r="L102" s="36"/>
    </row>
    <row r="103" spans="1:12" x14ac:dyDescent="0.25">
      <c r="A103" s="36"/>
      <c r="B103" s="36"/>
      <c r="C103" s="36"/>
      <c r="D103" s="36"/>
      <c r="E103" s="36"/>
      <c r="F103" s="36"/>
      <c r="G103" s="36"/>
      <c r="H103" s="36"/>
      <c r="I103" s="36"/>
      <c r="J103" s="36"/>
      <c r="K103" s="36"/>
      <c r="L103" s="36"/>
    </row>
    <row r="104" spans="1:12" x14ac:dyDescent="0.25">
      <c r="A104" s="36"/>
      <c r="B104" s="36"/>
      <c r="C104" s="36"/>
      <c r="D104" s="36"/>
      <c r="E104" s="36"/>
      <c r="F104" s="36"/>
      <c r="G104" s="36"/>
      <c r="H104" s="36"/>
      <c r="I104" s="36"/>
      <c r="J104" s="36"/>
      <c r="K104" s="36"/>
      <c r="L104" s="36"/>
    </row>
    <row r="105" spans="1:12" x14ac:dyDescent="0.25">
      <c r="A105" s="36"/>
      <c r="B105" s="36"/>
      <c r="C105" s="36"/>
      <c r="D105" s="36"/>
      <c r="E105" s="36"/>
      <c r="F105" s="36"/>
      <c r="G105" s="36"/>
      <c r="H105" s="36"/>
      <c r="I105" s="36"/>
      <c r="J105" s="36"/>
      <c r="K105" s="36"/>
      <c r="L105" s="36"/>
    </row>
    <row r="106" spans="1:12" x14ac:dyDescent="0.25">
      <c r="A106" s="36"/>
      <c r="B106" s="36"/>
      <c r="C106" s="36"/>
      <c r="D106" s="36"/>
      <c r="E106" s="36"/>
      <c r="F106" s="36"/>
      <c r="G106" s="36"/>
      <c r="H106" s="36"/>
      <c r="I106" s="36"/>
      <c r="J106" s="36"/>
      <c r="K106" s="36"/>
      <c r="L106" s="36"/>
    </row>
    <row r="107" spans="1:12" x14ac:dyDescent="0.25">
      <c r="A107" s="36"/>
      <c r="B107" s="36"/>
      <c r="C107" s="36"/>
      <c r="D107" s="36"/>
      <c r="E107" s="36"/>
      <c r="F107" s="36"/>
      <c r="G107" s="36"/>
      <c r="H107" s="36"/>
      <c r="I107" s="36"/>
      <c r="J107" s="36"/>
      <c r="K107" s="36"/>
      <c r="L107" s="36"/>
    </row>
    <row r="108" spans="1:12" x14ac:dyDescent="0.25">
      <c r="A108" s="36"/>
      <c r="B108" s="36"/>
      <c r="C108" s="36"/>
      <c r="D108" s="36"/>
      <c r="E108" s="36"/>
      <c r="F108" s="36"/>
      <c r="G108" s="36"/>
      <c r="H108" s="36"/>
      <c r="I108" s="36"/>
      <c r="J108" s="36"/>
      <c r="K108" s="36"/>
      <c r="L108" s="36"/>
    </row>
    <row r="109" spans="1:12" x14ac:dyDescent="0.25">
      <c r="A109" s="36"/>
      <c r="B109" s="36"/>
      <c r="C109" s="36"/>
      <c r="D109" s="36"/>
      <c r="E109" s="36"/>
      <c r="F109" s="36"/>
      <c r="G109" s="36"/>
      <c r="H109" s="36"/>
      <c r="I109" s="36"/>
      <c r="J109" s="36"/>
      <c r="K109" s="36"/>
      <c r="L109" s="36"/>
    </row>
    <row r="110" spans="1:12" x14ac:dyDescent="0.25">
      <c r="A110" s="36"/>
      <c r="B110" s="36"/>
      <c r="C110" s="36"/>
      <c r="D110" s="36"/>
      <c r="E110" s="36"/>
      <c r="F110" s="36"/>
      <c r="G110" s="36"/>
      <c r="H110" s="36"/>
      <c r="I110" s="36"/>
      <c r="J110" s="36"/>
      <c r="K110" s="36"/>
      <c r="L110" s="36"/>
    </row>
    <row r="111" spans="1:12" x14ac:dyDescent="0.25">
      <c r="A111" s="36"/>
      <c r="B111" s="36"/>
      <c r="C111" s="36"/>
      <c r="D111" s="36"/>
      <c r="E111" s="36"/>
      <c r="F111" s="36"/>
      <c r="G111" s="36"/>
      <c r="H111" s="36"/>
      <c r="I111" s="36"/>
      <c r="J111" s="36"/>
      <c r="K111" s="36"/>
      <c r="L111" s="36"/>
    </row>
    <row r="112" spans="1:12" x14ac:dyDescent="0.25">
      <c r="A112" s="36"/>
      <c r="B112" s="36"/>
      <c r="C112" s="36"/>
      <c r="D112" s="36"/>
      <c r="E112" s="36"/>
      <c r="F112" s="36"/>
      <c r="G112" s="36"/>
      <c r="H112" s="36"/>
      <c r="I112" s="36"/>
      <c r="J112" s="36"/>
      <c r="K112" s="36"/>
      <c r="L112" s="36"/>
    </row>
    <row r="113" spans="1:12" x14ac:dyDescent="0.25">
      <c r="A113" s="36"/>
      <c r="B113" s="36"/>
      <c r="C113" s="36"/>
      <c r="D113" s="36"/>
      <c r="E113" s="36"/>
      <c r="F113" s="36"/>
      <c r="G113" s="36"/>
      <c r="H113" s="36"/>
      <c r="I113" s="36"/>
      <c r="J113" s="36"/>
      <c r="K113" s="36"/>
      <c r="L113" s="36"/>
    </row>
    <row r="114" spans="1:12" x14ac:dyDescent="0.25">
      <c r="A114" s="36"/>
      <c r="B114" s="36"/>
      <c r="C114" s="36"/>
      <c r="D114" s="36"/>
      <c r="E114" s="36"/>
      <c r="F114" s="36"/>
      <c r="G114" s="36"/>
      <c r="H114" s="36"/>
      <c r="I114" s="36"/>
      <c r="J114" s="36"/>
      <c r="K114" s="36"/>
      <c r="L114" s="36"/>
    </row>
    <row r="115" spans="1:12" x14ac:dyDescent="0.25">
      <c r="A115" s="36"/>
      <c r="B115" s="36"/>
      <c r="C115" s="36"/>
      <c r="D115" s="36"/>
      <c r="E115" s="36"/>
      <c r="F115" s="36"/>
      <c r="G115" s="36"/>
      <c r="H115" s="36"/>
      <c r="I115" s="36"/>
      <c r="J115" s="36"/>
      <c r="K115" s="36"/>
      <c r="L115" s="36"/>
    </row>
    <row r="116" spans="1:12" x14ac:dyDescent="0.25">
      <c r="A116" s="36"/>
      <c r="B116" s="36"/>
      <c r="C116" s="36"/>
      <c r="D116" s="36"/>
      <c r="E116" s="36"/>
      <c r="F116" s="36"/>
      <c r="G116" s="36"/>
      <c r="H116" s="36"/>
      <c r="I116" s="36"/>
      <c r="J116" s="36"/>
      <c r="K116" s="36"/>
      <c r="L116" s="36"/>
    </row>
    <row r="117" spans="1:12" x14ac:dyDescent="0.25">
      <c r="A117" s="36"/>
      <c r="B117" s="36"/>
      <c r="C117" s="36"/>
      <c r="D117" s="36"/>
      <c r="E117" s="36"/>
      <c r="F117" s="36"/>
      <c r="G117" s="36"/>
      <c r="H117" s="36"/>
      <c r="I117" s="36"/>
      <c r="J117" s="36"/>
      <c r="K117" s="36"/>
      <c r="L117" s="36"/>
    </row>
    <row r="118" spans="1:12" x14ac:dyDescent="0.25">
      <c r="A118" s="36"/>
      <c r="B118" s="36"/>
      <c r="C118" s="36"/>
      <c r="D118" s="36"/>
      <c r="E118" s="36"/>
      <c r="F118" s="36"/>
      <c r="G118" s="36"/>
      <c r="H118" s="36"/>
      <c r="I118" s="36"/>
      <c r="J118" s="36"/>
      <c r="K118" s="36"/>
      <c r="L118" s="36"/>
    </row>
    <row r="119" spans="1:12" x14ac:dyDescent="0.25">
      <c r="A119" s="36"/>
      <c r="B119" s="36"/>
      <c r="C119" s="36"/>
      <c r="D119" s="36"/>
      <c r="E119" s="36"/>
      <c r="F119" s="36"/>
      <c r="G119" s="36"/>
      <c r="H119" s="36"/>
      <c r="I119" s="36"/>
      <c r="J119" s="36"/>
      <c r="K119" s="36"/>
      <c r="L119" s="36"/>
    </row>
    <row r="120" spans="1:12" x14ac:dyDescent="0.25">
      <c r="A120" s="36"/>
      <c r="B120" s="36"/>
      <c r="C120" s="36"/>
      <c r="D120" s="36"/>
      <c r="E120" s="36"/>
      <c r="F120" s="36"/>
      <c r="G120" s="36"/>
      <c r="H120" s="36"/>
      <c r="I120" s="36"/>
      <c r="J120" s="36"/>
      <c r="K120" s="36"/>
      <c r="L120" s="36"/>
    </row>
    <row r="121" spans="1:12" x14ac:dyDescent="0.25">
      <c r="A121" s="36"/>
      <c r="B121" s="36"/>
      <c r="C121" s="36"/>
      <c r="D121" s="36"/>
      <c r="E121" s="36"/>
      <c r="F121" s="36"/>
      <c r="G121" s="36"/>
      <c r="H121" s="36"/>
      <c r="I121" s="36"/>
      <c r="J121" s="36"/>
      <c r="K121" s="36"/>
      <c r="L121" s="36"/>
    </row>
    <row r="122" spans="1:12" x14ac:dyDescent="0.25">
      <c r="A122" s="36"/>
      <c r="B122" s="36"/>
      <c r="C122" s="36"/>
      <c r="D122" s="36"/>
      <c r="E122" s="36"/>
      <c r="F122" s="36"/>
      <c r="G122" s="36"/>
      <c r="H122" s="36"/>
      <c r="I122" s="36"/>
      <c r="J122" s="36"/>
      <c r="K122" s="36"/>
      <c r="L122" s="36"/>
    </row>
    <row r="123" spans="1:12" x14ac:dyDescent="0.25">
      <c r="A123" s="36"/>
      <c r="B123" s="36"/>
      <c r="C123" s="36"/>
      <c r="D123" s="36"/>
      <c r="E123" s="36"/>
      <c r="F123" s="36"/>
      <c r="G123" s="36"/>
      <c r="H123" s="36"/>
      <c r="I123" s="36"/>
      <c r="J123" s="36"/>
      <c r="K123" s="36"/>
      <c r="L123" s="36"/>
    </row>
    <row r="124" spans="1:12" x14ac:dyDescent="0.25">
      <c r="A124" s="36"/>
      <c r="B124" s="36"/>
      <c r="C124" s="36"/>
      <c r="D124" s="36"/>
      <c r="E124" s="36"/>
      <c r="F124" s="36"/>
      <c r="G124" s="36"/>
      <c r="H124" s="36"/>
      <c r="I124" s="36"/>
      <c r="J124" s="36"/>
      <c r="K124" s="36"/>
      <c r="L124" s="36"/>
    </row>
    <row r="125" spans="1:12" x14ac:dyDescent="0.25">
      <c r="A125" s="36"/>
      <c r="B125" s="36"/>
      <c r="C125" s="36"/>
      <c r="D125" s="36"/>
      <c r="E125" s="36"/>
      <c r="F125" s="36"/>
      <c r="G125" s="36"/>
      <c r="H125" s="36"/>
      <c r="I125" s="36"/>
      <c r="J125" s="36"/>
      <c r="K125" s="36"/>
      <c r="L125" s="36"/>
    </row>
    <row r="126" spans="1:12" x14ac:dyDescent="0.25">
      <c r="A126" s="36"/>
      <c r="B126" s="36"/>
      <c r="C126" s="36"/>
      <c r="D126" s="36"/>
      <c r="E126" s="36"/>
      <c r="F126" s="36"/>
      <c r="G126" s="36"/>
      <c r="H126" s="36"/>
      <c r="I126" s="36"/>
      <c r="J126" s="36"/>
      <c r="K126" s="36"/>
      <c r="L126" s="36"/>
    </row>
    <row r="127" spans="1:12" x14ac:dyDescent="0.25">
      <c r="A127" s="36"/>
      <c r="B127" s="36"/>
      <c r="C127" s="36"/>
      <c r="D127" s="36"/>
      <c r="E127" s="36"/>
      <c r="F127" s="36"/>
      <c r="G127" s="36"/>
      <c r="H127" s="36"/>
      <c r="I127" s="36"/>
      <c r="J127" s="36"/>
      <c r="K127" s="36"/>
      <c r="L127" s="36"/>
    </row>
    <row r="128" spans="1:12" x14ac:dyDescent="0.25">
      <c r="A128" s="36"/>
      <c r="B128" s="36"/>
      <c r="C128" s="36"/>
      <c r="D128" s="36"/>
      <c r="E128" s="36"/>
      <c r="F128" s="36"/>
      <c r="G128" s="36"/>
      <c r="H128" s="36"/>
      <c r="I128" s="36"/>
      <c r="J128" s="36"/>
      <c r="K128" s="36"/>
      <c r="L128" s="36"/>
    </row>
    <row r="129" spans="1:12" x14ac:dyDescent="0.25">
      <c r="A129" s="36"/>
      <c r="B129" s="36"/>
      <c r="C129" s="36"/>
      <c r="D129" s="36"/>
      <c r="E129" s="36"/>
      <c r="F129" s="36"/>
      <c r="G129" s="36"/>
      <c r="H129" s="36"/>
      <c r="I129" s="36"/>
      <c r="J129" s="36"/>
      <c r="K129" s="36"/>
      <c r="L129" s="36"/>
    </row>
    <row r="130" spans="1:12" x14ac:dyDescent="0.25">
      <c r="A130" s="36"/>
      <c r="B130" s="36"/>
      <c r="C130" s="36"/>
      <c r="D130" s="36"/>
      <c r="E130" s="36"/>
      <c r="F130" s="36"/>
      <c r="G130" s="36"/>
      <c r="H130" s="36"/>
      <c r="I130" s="36"/>
      <c r="J130" s="36"/>
      <c r="K130" s="36"/>
      <c r="L130" s="36"/>
    </row>
    <row r="131" spans="1:12" x14ac:dyDescent="0.25">
      <c r="A131" s="36"/>
      <c r="B131" s="36"/>
      <c r="C131" s="36"/>
      <c r="D131" s="36"/>
      <c r="E131" s="36"/>
      <c r="F131" s="36"/>
      <c r="G131" s="36"/>
      <c r="H131" s="36"/>
      <c r="I131" s="36"/>
      <c r="J131" s="36"/>
      <c r="K131" s="36"/>
      <c r="L131" s="36"/>
    </row>
    <row r="132" spans="1:12" x14ac:dyDescent="0.25">
      <c r="A132" s="36"/>
      <c r="B132" s="36"/>
      <c r="C132" s="36"/>
      <c r="D132" s="36"/>
      <c r="E132" s="36"/>
      <c r="F132" s="36"/>
      <c r="G132" s="36"/>
      <c r="H132" s="36"/>
      <c r="I132" s="36"/>
      <c r="J132" s="36"/>
      <c r="K132" s="36"/>
      <c r="L132" s="36"/>
    </row>
    <row r="133" spans="1:12" x14ac:dyDescent="0.25">
      <c r="A133" s="36"/>
      <c r="B133" s="36"/>
      <c r="C133" s="36"/>
      <c r="D133" s="36"/>
      <c r="E133" s="36"/>
      <c r="F133" s="36"/>
      <c r="G133" s="36"/>
      <c r="H133" s="36"/>
      <c r="I133" s="36"/>
      <c r="J133" s="36"/>
      <c r="K133" s="36"/>
      <c r="L133" s="36"/>
    </row>
    <row r="134" spans="1:12" x14ac:dyDescent="0.25">
      <c r="A134" s="36"/>
      <c r="B134" s="36"/>
      <c r="C134" s="36"/>
      <c r="D134" s="36"/>
      <c r="E134" s="36"/>
      <c r="F134" s="36"/>
      <c r="G134" s="36"/>
      <c r="H134" s="36"/>
      <c r="I134" s="36"/>
      <c r="J134" s="36"/>
      <c r="K134" s="36"/>
      <c r="L134" s="36"/>
    </row>
    <row r="135" spans="1:12" x14ac:dyDescent="0.25">
      <c r="A135" s="36"/>
      <c r="B135" s="36"/>
      <c r="C135" s="36"/>
      <c r="D135" s="36"/>
      <c r="E135" s="36"/>
      <c r="F135" s="36"/>
      <c r="G135" s="36"/>
      <c r="H135" s="36"/>
      <c r="I135" s="36"/>
      <c r="J135" s="36"/>
      <c r="K135" s="36"/>
      <c r="L135" s="36"/>
    </row>
    <row r="136" spans="1:12" x14ac:dyDescent="0.25">
      <c r="A136" s="36"/>
      <c r="B136" s="36"/>
      <c r="C136" s="36"/>
      <c r="D136" s="36"/>
      <c r="E136" s="36"/>
      <c r="F136" s="36"/>
      <c r="G136" s="36"/>
      <c r="H136" s="36"/>
      <c r="I136" s="36"/>
      <c r="J136" s="36"/>
      <c r="K136" s="36"/>
      <c r="L136" s="36"/>
    </row>
    <row r="137" spans="1:12" x14ac:dyDescent="0.25">
      <c r="A137" s="36"/>
      <c r="B137" s="36"/>
      <c r="C137" s="36"/>
      <c r="D137" s="36"/>
      <c r="E137" s="36"/>
      <c r="F137" s="36"/>
      <c r="G137" s="36"/>
      <c r="H137" s="36"/>
      <c r="I137" s="36"/>
      <c r="J137" s="36"/>
      <c r="K137" s="36"/>
      <c r="L137" s="36"/>
    </row>
    <row r="138" spans="1:12" x14ac:dyDescent="0.25">
      <c r="A138" s="36"/>
      <c r="B138" s="36"/>
      <c r="C138" s="36"/>
      <c r="D138" s="36"/>
      <c r="E138" s="36"/>
      <c r="F138" s="36"/>
      <c r="G138" s="36"/>
      <c r="H138" s="36"/>
      <c r="I138" s="36"/>
      <c r="J138" s="36"/>
      <c r="K138" s="36"/>
      <c r="L138" s="36"/>
    </row>
    <row r="139" spans="1:12" x14ac:dyDescent="0.25">
      <c r="A139" s="36"/>
      <c r="B139" s="36"/>
      <c r="C139" s="36"/>
      <c r="D139" s="36"/>
      <c r="E139" s="36"/>
      <c r="F139" s="36"/>
      <c r="G139" s="36"/>
      <c r="H139" s="36"/>
      <c r="I139" s="36"/>
      <c r="J139" s="36"/>
      <c r="K139" s="36"/>
      <c r="L139" s="36"/>
    </row>
    <row r="140" spans="1:12" x14ac:dyDescent="0.25">
      <c r="A140" s="36"/>
      <c r="B140" s="36"/>
      <c r="C140" s="36"/>
      <c r="D140" s="36"/>
      <c r="E140" s="36"/>
      <c r="F140" s="36"/>
      <c r="G140" s="36"/>
      <c r="H140" s="36"/>
      <c r="I140" s="36"/>
      <c r="J140" s="36"/>
      <c r="K140" s="36"/>
      <c r="L140" s="36"/>
    </row>
    <row r="141" spans="1:12" x14ac:dyDescent="0.25">
      <c r="A141" s="36"/>
      <c r="B141" s="36"/>
      <c r="C141" s="36"/>
      <c r="D141" s="36"/>
      <c r="E141" s="36"/>
      <c r="F141" s="36"/>
      <c r="G141" s="36"/>
      <c r="H141" s="36"/>
      <c r="I141" s="36"/>
      <c r="J141" s="36"/>
      <c r="K141" s="36"/>
      <c r="L141" s="36"/>
    </row>
    <row r="142" spans="1:12" x14ac:dyDescent="0.25">
      <c r="A142" s="36"/>
      <c r="B142" s="36"/>
      <c r="C142" s="36"/>
      <c r="D142" s="36"/>
      <c r="E142" s="36"/>
      <c r="F142" s="36"/>
      <c r="G142" s="36"/>
      <c r="H142" s="36"/>
      <c r="I142" s="36"/>
      <c r="J142" s="36"/>
      <c r="K142" s="36"/>
      <c r="L142" s="36"/>
    </row>
    <row r="143" spans="1:12" x14ac:dyDescent="0.25">
      <c r="A143" s="36"/>
      <c r="B143" s="36"/>
      <c r="C143" s="36"/>
      <c r="D143" s="36"/>
      <c r="E143" s="36"/>
      <c r="F143" s="36"/>
      <c r="G143" s="36"/>
      <c r="H143" s="36"/>
      <c r="I143" s="36"/>
      <c r="J143" s="36"/>
      <c r="K143" s="36"/>
      <c r="L143" s="36"/>
    </row>
    <row r="144" spans="1:12" x14ac:dyDescent="0.25">
      <c r="A144" s="36"/>
      <c r="B144" s="36"/>
      <c r="C144" s="36"/>
      <c r="D144" s="36"/>
      <c r="E144" s="36"/>
      <c r="F144" s="36"/>
      <c r="G144" s="36"/>
      <c r="H144" s="36"/>
      <c r="I144" s="36"/>
      <c r="J144" s="36"/>
      <c r="K144" s="36"/>
      <c r="L144" s="36"/>
    </row>
    <row r="145" spans="1:12" x14ac:dyDescent="0.25">
      <c r="A145" s="36"/>
      <c r="B145" s="36"/>
      <c r="C145" s="36"/>
      <c r="D145" s="36"/>
      <c r="E145" s="36"/>
      <c r="F145" s="36"/>
      <c r="G145" s="36"/>
      <c r="H145" s="36"/>
      <c r="I145" s="36"/>
      <c r="J145" s="36"/>
      <c r="K145" s="36"/>
      <c r="L145" s="36"/>
    </row>
    <row r="146" spans="1:12" x14ac:dyDescent="0.25">
      <c r="A146" s="36"/>
      <c r="B146" s="36"/>
      <c r="C146" s="36"/>
      <c r="D146" s="36"/>
      <c r="E146" s="36"/>
      <c r="F146" s="36"/>
      <c r="G146" s="36"/>
      <c r="H146" s="36"/>
      <c r="I146" s="36"/>
      <c r="J146" s="36"/>
      <c r="K146" s="36"/>
      <c r="L146" s="36"/>
    </row>
  </sheetData>
  <mergeCells count="1">
    <mergeCell ref="D6:G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i="http://www.w3.org/2001/XMLSchema-instance" xmlns:xsd="http://www.w3.org/2001/XMLSchema" xmlns="http://www.boldonjames.com/2008/01/sie/internal/label" sislVersion="0" policy="246de94c-8867-47b0-926e-310c120d49ea" origin="userSelected">
  <element uid="3b25754d-024a-43c2-8ac8-dabf3de22e95" value=""/>
  <element uid="id_classification_nonbusiness" value=""/>
</sisl>
</file>

<file path=customXml/item2.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yNDZkZTk0Yy04ODY3LTQ3YjAtOTI2ZS0zMTBjMTIwZDQ5ZWEiIG9yaWdpbj0idXNlclNlbGVjdGVkIj48ZWxlbWVudCB1aWQ9IjNiMjU3NTRkLTAyNGEtNDNjMi04YWM4LWRhYmYzZGUyMmU5NSIgdmFsdWU9IiIgeG1sbnM9Imh0dHA6Ly93d3cuYm9sZG9uamFtZXMuY29tLzIwMDgvMDEvc2llL2ludGVybmFsL2xhYmVsIiAvPjxlbGVtZW50IHVpZD0iaWRfY2xhc3NpZmljYXRpb25fbm9uYnVzaW5lc3MiIHZhbHVlPSIiIHhtbG5zPSJodHRwOi8vd3d3LmJvbGRvbmphbWVzLmNvbS8yMDA4LzAxL3NpZS9pbnRlcm5hbC9sYWJlbCIgLz48L3Npc2w+PFVzZXJOYW1lPkFEMVxEUzcyNzkwPC9Vc2VyTmFtZT48RGF0ZVRpbWU+Ny8yLzIwMTggMTo0NDoxMiBQTTwvRGF0ZVRpbWU+PExhYmVsU3RyaW5nPlB1YmxpY2x5IEF2YWlsYWJsZSAmI3gyMDBGOyYjeDIwMDE7JiN4MjAwMDsmI3gyMDAyOyYjeDIwMEI7JiN4MjAwMDs8L0xhYmVsU3RyaW5nPjwvaXRlbT48L2xhYmVsSGlzdG9yeT4=</Value>
</WrappedLabelHistory>
</file>

<file path=customXml/itemProps1.xml><?xml version="1.0" encoding="utf-8"?>
<ds:datastoreItem xmlns:ds="http://schemas.openxmlformats.org/officeDocument/2006/customXml" ds:itemID="{68B9C7AB-890F-4804-82DE-77BDD88AC512}">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B3A54F20-CDF9-4C98-84C8-397FB3D8D651}">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52</vt:i4>
      </vt:variant>
    </vt:vector>
  </HeadingPairs>
  <TitlesOfParts>
    <vt:vector size="52" baseType="lpstr">
      <vt:lpstr>1(1)</vt:lpstr>
      <vt:lpstr>1(2)</vt:lpstr>
      <vt:lpstr>2 (1)</vt:lpstr>
      <vt:lpstr>2 (2)</vt:lpstr>
      <vt:lpstr>2 (3)</vt:lpstr>
      <vt:lpstr>3 (1)</vt:lpstr>
      <vt:lpstr>3 (2)</vt:lpstr>
      <vt:lpstr>3 (3)</vt:lpstr>
      <vt:lpstr>4 (1)</vt:lpstr>
      <vt:lpstr>4 (2)</vt:lpstr>
      <vt:lpstr>5 (1)</vt:lpstr>
      <vt:lpstr>6 (1)</vt:lpstr>
      <vt:lpstr>6 (2)</vt:lpstr>
      <vt:lpstr>6 (3)</vt:lpstr>
      <vt:lpstr>7 (1)</vt:lpstr>
      <vt:lpstr>7 (2)</vt:lpstr>
      <vt:lpstr>8 (1)</vt:lpstr>
      <vt:lpstr>8 (2)</vt:lpstr>
      <vt:lpstr>8 (3)</vt:lpstr>
      <vt:lpstr>8 (4)</vt:lpstr>
      <vt:lpstr>8 (5)</vt:lpstr>
      <vt:lpstr>9 (1)</vt:lpstr>
      <vt:lpstr>9 (2)</vt:lpstr>
      <vt:lpstr>10 (1)</vt:lpstr>
      <vt:lpstr>11 (1)</vt:lpstr>
      <vt:lpstr>12 (1)</vt:lpstr>
      <vt:lpstr>12 (2)</vt:lpstr>
      <vt:lpstr>13 (1)</vt:lpstr>
      <vt:lpstr>13 (2)</vt:lpstr>
      <vt:lpstr>14 (1)</vt:lpstr>
      <vt:lpstr>14 (2)</vt:lpstr>
      <vt:lpstr>15(1)</vt:lpstr>
      <vt:lpstr>15(2)</vt:lpstr>
      <vt:lpstr>16(1)</vt:lpstr>
      <vt:lpstr>17 (1)</vt:lpstr>
      <vt:lpstr>17 (2)</vt:lpstr>
      <vt:lpstr>17 (3)</vt:lpstr>
      <vt:lpstr>18 (1)</vt:lpstr>
      <vt:lpstr>18 (2)</vt:lpstr>
      <vt:lpstr>19 (1)</vt:lpstr>
      <vt:lpstr>20 (1)</vt:lpstr>
      <vt:lpstr>20 (2)</vt:lpstr>
      <vt:lpstr>21 (1)</vt:lpstr>
      <vt:lpstr>22 (1)</vt:lpstr>
      <vt:lpstr>23 (1)</vt:lpstr>
      <vt:lpstr>23 (2)</vt:lpstr>
      <vt:lpstr>24 (1)</vt:lpstr>
      <vt:lpstr>24 (2)</vt:lpstr>
      <vt:lpstr>25 (1)</vt:lpstr>
      <vt:lpstr>25 (2)</vt:lpstr>
      <vt:lpstr>26 (1)</vt:lpstr>
      <vt:lpstr>26 (2)</vt:lpstr>
    </vt:vector>
  </TitlesOfParts>
  <Company>The Hartford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Summerson, Doug A (Actuarial)</dc:creator>
  <cp:keywords>#P^bl1c# #Sh0w-F00t3r#</cp:keywords>
  <cp:lastModifiedBy>Eva Taylor</cp:lastModifiedBy>
  <dcterms:created xsi:type="dcterms:W3CDTF">2018-07-02T13:43:15Z</dcterms:created>
  <dcterms:modified xsi:type="dcterms:W3CDTF">2020-08-10T18:24:06Z</dcterms:modified>
  <cp:category>Public</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b94956b6-f72c-4762-870f-769d5d47c7f2</vt:lpwstr>
  </property>
  <property fmtid="{D5CDD505-2E9C-101B-9397-08002B2CF9AE}" pid="3" name="bjSaver">
    <vt:lpwstr>w8jpzzfX6jI9ypSYUogjTbaGzNCgcCO2</vt:lpwstr>
  </property>
  <property fmtid="{D5CDD505-2E9C-101B-9397-08002B2CF9AE}" pid="4" name="bjDocumentLabelXML">
    <vt:lpwstr>&lt;?xml version="1.0" encoding="us-ascii"?&gt;&lt;sisl xmlns:xsi="http://www.w3.org/2001/XMLSchema-instance" xmlns:xsd="http://www.w3.org/2001/XMLSchema" sislVersion="0" policy="246de94c-8867-47b0-926e-310c120d49ea" origin="userSelected" xmlns="http://www.boldonj</vt:lpwstr>
  </property>
  <property fmtid="{D5CDD505-2E9C-101B-9397-08002B2CF9AE}" pid="5" name="bjDocumentLabelXML-0">
    <vt:lpwstr>ames.com/2008/01/sie/internal/label"&gt;&lt;element uid="3b25754d-024a-43c2-8ac8-dabf3de22e95" value="" /&gt;&lt;element uid="id_classification_nonbusiness" value="" /&gt;&lt;/sisl&gt;</vt:lpwstr>
  </property>
  <property fmtid="{D5CDD505-2E9C-101B-9397-08002B2CF9AE}" pid="6" name="bjDocumentSecurityLabel">
    <vt:lpwstr>Publicly Available ‏   ​ </vt:lpwstr>
  </property>
  <property fmtid="{D5CDD505-2E9C-101B-9397-08002B2CF9AE}" pid="7" name="bjLabelHistoryID">
    <vt:lpwstr>{B3A54F20-CDF9-4C98-84C8-397FB3D8D651}</vt:lpwstr>
  </property>
</Properties>
</file>